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tomath" sheetId="1" r:id="rId1"/>
  </sheets>
  <definedNames>
    <definedName name="_xlnm.Print_Area" localSheetId="0">'automath'!$B$1:$I$88</definedName>
    <definedName name="altitude">'automath'!$C$59</definedName>
    <definedName name="BaroPress">'automath'!$G$99</definedName>
    <definedName name="Displacement">'automath'!$C$87</definedName>
    <definedName name="Displacement_EAC">'automath'!$C$77</definedName>
    <definedName name="drivetrainloss">'automath'!$G$7</definedName>
    <definedName name="ET">'automath'!$C$22</definedName>
    <definedName name="Fuel_Pounds_Per_Hour">'automath'!$C$66</definedName>
    <definedName name="horsepower">'automath'!$C$8</definedName>
    <definedName name="Horsepower2">'automath'!$C$50</definedName>
    <definedName name="horsepower3">'automath'!$C$67</definedName>
    <definedName name="hp">'automath'!$G$6</definedName>
    <definedName name="HP_SL">'automath'!$C$58</definedName>
    <definedName name="RelHumidity">'automath'!$G$100</definedName>
    <definedName name="RPM">'automath'!$C$43</definedName>
    <definedName name="RPM2">'automath'!$C$86</definedName>
    <definedName name="RPM_EAC">'automath'!$C$76</definedName>
    <definedName name="stock_horsepower">'automath'!$C$9</definedName>
    <definedName name="stock_top_speed">'automath'!$C$10</definedName>
    <definedName name="TempF">'automath'!$G$98</definedName>
    <definedName name="Torque">'automath'!$C$42</definedName>
    <definedName name="trapspeed">'automath'!$C$18</definedName>
    <definedName name="UncHP">'automath'!$G$101</definedName>
    <definedName name="VaporPressure">'automath'!$H$103</definedName>
    <definedName name="weight">'automath'!$C$17</definedName>
  </definedNames>
  <calcPr fullCalcOnLoad="1"/>
</workbook>
</file>

<file path=xl/sharedStrings.xml><?xml version="1.0" encoding="utf-8"?>
<sst xmlns="http://schemas.openxmlformats.org/spreadsheetml/2006/main" count="152" uniqueCount="138">
  <si>
    <t>Automotive Equations</t>
  </si>
  <si>
    <t>Get the latest version of this spreadsheet @</t>
  </si>
  <si>
    <t>http://robrobinette.com/notes.htm</t>
  </si>
  <si>
    <t>Equations grouped in a box share data</t>
  </si>
  <si>
    <t>Compiled by Rob Robinette</t>
  </si>
  <si>
    <t>Horsepower is American SAE at the flywheel unless specified otherwise</t>
  </si>
  <si>
    <t>Estimated top speed with added horsepower</t>
  </si>
  <si>
    <t>Flywheel horsepower from wheel HP</t>
  </si>
  <si>
    <t>3rd Gen RX-7 Specs</t>
  </si>
  <si>
    <t>flywheel_HP = HP*(1+drivetrainloss)</t>
  </si>
  <si>
    <t>HP Measured @ Wheels</t>
  </si>
  <si>
    <t>Displacement (cc, ci) =</t>
  </si>
  <si>
    <t>Drivetrain Loss</t>
  </si>
  <si>
    <t>HP per cubic inch =</t>
  </si>
  <si>
    <t>Current Horsepower</t>
  </si>
  <si>
    <t>Horsepower =</t>
  </si>
  <si>
    <t>Compression ratio =</t>
  </si>
  <si>
    <t>9.0 : 1</t>
  </si>
  <si>
    <t>Stock Horsepower</t>
  </si>
  <si>
    <t>Wheel HP from flywheel HP</t>
  </si>
  <si>
    <t>Min compression =</t>
  </si>
  <si>
    <t>100 psi @ 250 RPM</t>
  </si>
  <si>
    <t>Stock Top Speed</t>
  </si>
  <si>
    <t>wheel_HP = flywheel_HP/(1-drivetrainloss)</t>
  </si>
  <si>
    <t xml:space="preserve">  Max diff between rotors =</t>
  </si>
  <si>
    <t>25 @ 250 RPM</t>
  </si>
  <si>
    <t>Estimated Top Speed =</t>
  </si>
  <si>
    <t>HP Measured @ Flywheel</t>
  </si>
  <si>
    <t xml:space="preserve">    (spark plugs out, full throttle)</t>
  </si>
  <si>
    <t>Gear ratios:</t>
  </si>
  <si>
    <t>1st</t>
  </si>
  <si>
    <t>Flywheel horsepower from trap speed</t>
  </si>
  <si>
    <t>2nd</t>
  </si>
  <si>
    <t>3rd</t>
  </si>
  <si>
    <t>Drive wheel torque</t>
  </si>
  <si>
    <t>4th</t>
  </si>
  <si>
    <t>drive_wheel_torque=flywheel_torque*first_gear*_final_drive*efficiency</t>
  </si>
  <si>
    <t>(overdrive)</t>
  </si>
  <si>
    <t>5th</t>
  </si>
  <si>
    <t>Car Weight</t>
  </si>
  <si>
    <t>Flywheel Torque</t>
  </si>
  <si>
    <t>Rev</t>
  </si>
  <si>
    <t>Trap Speed</t>
  </si>
  <si>
    <t>First Gear</t>
  </si>
  <si>
    <t>Final gear ratio =</t>
  </si>
  <si>
    <t>Final Drive</t>
  </si>
  <si>
    <t>Horsepower from elapsed time</t>
  </si>
  <si>
    <t>Drivetrain Efficiency</t>
  </si>
  <si>
    <t>RX-7's [3] Aerodynamic Numbers</t>
  </si>
  <si>
    <t>HP = weight/(ET/5.825)^3</t>
  </si>
  <si>
    <t>Drive wheel torque (ft lbs) =</t>
  </si>
  <si>
    <t>Coefficient of Drag (cd) = 0.29, R1 = 0.31</t>
  </si>
  <si>
    <t>Elapsed Time (ET)</t>
  </si>
  <si>
    <t>Frontal Area = 1.79 square meters</t>
  </si>
  <si>
    <t>Wheel thrust</t>
  </si>
  <si>
    <t>My RX-7</t>
  </si>
  <si>
    <t>1/4 Mile elapsed time from horsepower</t>
  </si>
  <si>
    <t>305 HP at the wheels</t>
  </si>
  <si>
    <t>357 HP at the flywheel</t>
  </si>
  <si>
    <t>Tire Rolling Radius (inches)</t>
  </si>
  <si>
    <t>3010 lbs with 3/4 tank of gas</t>
  </si>
  <si>
    <t>Wheel thrust (ft lbs) =</t>
  </si>
  <si>
    <t>Horsepower</t>
  </si>
  <si>
    <t>1/4 Mile ET =</t>
  </si>
  <si>
    <t>Acceleration</t>
  </si>
  <si>
    <t>1/4 Mile trap speed from horsepower</t>
  </si>
  <si>
    <t>Acceleration (g) =</t>
  </si>
  <si>
    <t>1/4 Mile trap speed =</t>
  </si>
  <si>
    <t>Weight transfer</t>
  </si>
  <si>
    <t>Horsepower from torque</t>
  </si>
  <si>
    <t>Center of Gravity Height (inches)</t>
  </si>
  <si>
    <t>Torque</t>
  </si>
  <si>
    <t>Wheelbase (inches)</t>
  </si>
  <si>
    <t>RPM</t>
  </si>
  <si>
    <t>Weight transfer (lbs) =</t>
  </si>
  <si>
    <t>Lateral weight transfer</t>
  </si>
  <si>
    <t>Torque from horsepower</t>
  </si>
  <si>
    <t>Wheel track</t>
  </si>
  <si>
    <t>Horsepower @ Flywheel</t>
  </si>
  <si>
    <t>Lateral g</t>
  </si>
  <si>
    <t>Lateral weight transfer (lbs) =</t>
  </si>
  <si>
    <t>Torque =</t>
  </si>
  <si>
    <t>Tire diameter</t>
  </si>
  <si>
    <t>Horsepower at altitude (normally aspirated)</t>
  </si>
  <si>
    <t>Section Width (mm)</t>
  </si>
  <si>
    <t>(inches)</t>
  </si>
  <si>
    <t>Horsepower at Sea Level</t>
  </si>
  <si>
    <t>Aspect Ratio</t>
  </si>
  <si>
    <t>Altitude</t>
  </si>
  <si>
    <t>Rim Diameter (inches)</t>
  </si>
  <si>
    <t>Tire diameter (inches) =</t>
  </si>
  <si>
    <t>Brake Specific Fuel Consumption</t>
  </si>
  <si>
    <t>Speedometer check (actual MPH)</t>
  </si>
  <si>
    <t>Fuel Pounds Per Hour</t>
  </si>
  <si>
    <t>Seconds Per Mile</t>
  </si>
  <si>
    <t>Actual MPH =</t>
  </si>
  <si>
    <t>Should normally be lower than 0.5</t>
  </si>
  <si>
    <t>BSFC =</t>
  </si>
  <si>
    <t>Odometer error</t>
  </si>
  <si>
    <t>Engine Air Capacity</t>
  </si>
  <si>
    <t>Diff Between Actual &amp; Indicated Distance</t>
  </si>
  <si>
    <t>Actual Distance (miles)</t>
  </si>
  <si>
    <t>Odometer error =</t>
  </si>
  <si>
    <t>Displacement (cc)</t>
  </si>
  <si>
    <t>Bar to PSI</t>
  </si>
  <si>
    <t>Air capacity in CFM =</t>
  </si>
  <si>
    <t>Bars</t>
  </si>
  <si>
    <t>(cubic feet per minute)</t>
  </si>
  <si>
    <t>PSI =</t>
  </si>
  <si>
    <t>Engine Air Capacity for a Rotary Engine*</t>
  </si>
  <si>
    <t>PSI to Bars</t>
  </si>
  <si>
    <t>PSI</t>
  </si>
  <si>
    <t>Bars =</t>
  </si>
  <si>
    <t>Foot lbs to newton meters</t>
  </si>
  <si>
    <t>Foot pounds</t>
  </si>
  <si>
    <t>newton meters =</t>
  </si>
  <si>
    <t>Newton meters to foot lbs</t>
  </si>
  <si>
    <t>Newton meters</t>
  </si>
  <si>
    <t>foot pounds =</t>
  </si>
  <si>
    <t>Foot lbs to inch lbs</t>
  </si>
  <si>
    <t>(foot lbs x 12)</t>
  </si>
  <si>
    <t>Foot lbs</t>
  </si>
  <si>
    <t>inch pounds =</t>
  </si>
  <si>
    <t>Dyno Correction Factors* (CF)</t>
  </si>
  <si>
    <t>Skid pad lateral g</t>
  </si>
  <si>
    <t>Temperature (F)</t>
  </si>
  <si>
    <t>Barometric Pressure (inHg)</t>
  </si>
  <si>
    <t>Relative Humidity</t>
  </si>
  <si>
    <t>Uncorrected Dyno Horsepower</t>
  </si>
  <si>
    <t>Radius of skid pad (ft)</t>
  </si>
  <si>
    <t xml:space="preserve">Vapor Pressure (inHg) = </t>
  </si>
  <si>
    <t>Skid pad lap time (sec)</t>
  </si>
  <si>
    <t xml:space="preserve">SAE J1349 Air Correction Factor = </t>
  </si>
  <si>
    <t xml:space="preserve">SAE Corrected Horsepower = </t>
  </si>
  <si>
    <t xml:space="preserve">Motorsports Standard Atmosphere CF = </t>
  </si>
  <si>
    <t xml:space="preserve">MSA Corrected Horsepower = </t>
  </si>
  <si>
    <t xml:space="preserve">STD Correction Factor = </t>
  </si>
  <si>
    <t xml:space="preserve">STD Corrected Horsepower =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</si>
</sst>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* #,##0\ ;* \(#,##0\);* &quot;- &quot;;@\ "/>
    <numFmt numFmtId="166" formatCode="&quot; $&quot;* #,##0\ ;&quot; $&quot;* \(#,##0\);&quot; $&quot;* &quot;- &quot;;@\ "/>
    <numFmt numFmtId="167" formatCode="0.0"/>
    <numFmt numFmtId="168" formatCode="0"/>
    <numFmt numFmtId="169" formatCode="0%"/>
    <numFmt numFmtId="170" formatCode="0.00"/>
    <numFmt numFmtId="171" formatCode="0.0%"/>
    <numFmt numFmtId="172" formatCode="0.000"/>
  </numFmts>
  <fonts count="8">
    <font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4" fontId="2" fillId="0" borderId="0" applyNumberFormat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0" fillId="2" borderId="0" xfId="0" applyFont="1" applyFill="1" applyAlignment="1">
      <alignment horizontal="right"/>
    </xf>
    <xf numFmtId="164" fontId="2" fillId="2" borderId="0" xfId="20" applyNumberFormat="1" applyFont="1" applyFill="1" applyBorder="1" applyAlignment="1" applyProtection="1">
      <alignment horizontal="left"/>
      <protection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right"/>
    </xf>
    <xf numFmtId="164" fontId="3" fillId="2" borderId="0" xfId="0" applyFont="1" applyFill="1" applyAlignment="1">
      <alignment horizontal="left"/>
    </xf>
    <xf numFmtId="164" fontId="0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4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7" fontId="5" fillId="2" borderId="0" xfId="0" applyNumberFormat="1" applyFont="1" applyFill="1" applyAlignment="1">
      <alignment/>
    </xf>
    <xf numFmtId="164" fontId="0" fillId="2" borderId="4" xfId="0" applyFill="1" applyBorder="1" applyAlignment="1">
      <alignment/>
    </xf>
    <xf numFmtId="164" fontId="0" fillId="2" borderId="0" xfId="0" applyFill="1" applyBorder="1" applyAlignment="1">
      <alignment/>
    </xf>
    <xf numFmtId="164" fontId="0" fillId="2" borderId="5" xfId="0" applyFill="1" applyBorder="1" applyAlignment="1">
      <alignment/>
    </xf>
    <xf numFmtId="168" fontId="6" fillId="2" borderId="0" xfId="0" applyNumberFormat="1" applyFont="1" applyFill="1" applyAlignment="1">
      <alignment/>
    </xf>
    <xf numFmtId="169" fontId="6" fillId="2" borderId="0" xfId="0" applyNumberFormat="1" applyFont="1" applyFill="1" applyAlignment="1">
      <alignment/>
    </xf>
    <xf numFmtId="170" fontId="0" fillId="2" borderId="5" xfId="0" applyNumberFormat="1" applyFill="1" applyBorder="1" applyAlignment="1">
      <alignment/>
    </xf>
    <xf numFmtId="164" fontId="4" fillId="2" borderId="0" xfId="0" applyFont="1" applyFill="1" applyAlignment="1">
      <alignment horizontal="right"/>
    </xf>
    <xf numFmtId="167" fontId="0" fillId="2" borderId="0" xfId="0" applyNumberFormat="1" applyFill="1" applyAlignment="1">
      <alignment/>
    </xf>
    <xf numFmtId="164" fontId="0" fillId="2" borderId="0" xfId="0" applyFont="1" applyFill="1" applyBorder="1" applyAlignment="1">
      <alignment horizontal="right"/>
    </xf>
    <xf numFmtId="164" fontId="6" fillId="2" borderId="0" xfId="0" applyFont="1" applyFill="1" applyAlignment="1">
      <alignment/>
    </xf>
    <xf numFmtId="169" fontId="0" fillId="2" borderId="0" xfId="0" applyNumberFormat="1" applyFill="1" applyAlignment="1">
      <alignment/>
    </xf>
    <xf numFmtId="164" fontId="5" fillId="2" borderId="0" xfId="0" applyFont="1" applyFill="1" applyAlignment="1">
      <alignment/>
    </xf>
    <xf numFmtId="170" fontId="6" fillId="2" borderId="0" xfId="0" applyNumberFormat="1" applyFont="1" applyFill="1" applyAlignment="1">
      <alignment/>
    </xf>
    <xf numFmtId="164" fontId="5" fillId="2" borderId="4" xfId="0" applyFont="1" applyFill="1" applyBorder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2" xfId="0" applyFont="1" applyFill="1" applyBorder="1" applyAlignment="1">
      <alignment horizontal="right"/>
    </xf>
    <xf numFmtId="167" fontId="0" fillId="2" borderId="3" xfId="0" applyNumberFormat="1" applyFill="1" applyBorder="1" applyAlignment="1">
      <alignment/>
    </xf>
    <xf numFmtId="169" fontId="4" fillId="2" borderId="0" xfId="0" applyNumberFormat="1" applyFont="1" applyFill="1" applyAlignment="1">
      <alignment horizontal="right"/>
    </xf>
    <xf numFmtId="164" fontId="4" fillId="2" borderId="4" xfId="0" applyFont="1" applyFill="1" applyBorder="1" applyAlignment="1">
      <alignment/>
    </xf>
    <xf numFmtId="164" fontId="4" fillId="2" borderId="0" xfId="0" applyFont="1" applyFill="1" applyBorder="1" applyAlignment="1">
      <alignment horizontal="right"/>
    </xf>
    <xf numFmtId="167" fontId="0" fillId="2" borderId="5" xfId="0" applyNumberFormat="1" applyFill="1" applyBorder="1" applyAlignment="1">
      <alignment/>
    </xf>
    <xf numFmtId="167" fontId="0" fillId="2" borderId="4" xfId="0" applyNumberFormat="1" applyFill="1" applyBorder="1" applyAlignment="1">
      <alignment/>
    </xf>
    <xf numFmtId="164" fontId="5" fillId="2" borderId="4" xfId="0" applyFont="1" applyFill="1" applyBorder="1" applyAlignment="1">
      <alignment horizontal="right"/>
    </xf>
    <xf numFmtId="164" fontId="6" fillId="2" borderId="0" xfId="0" applyFont="1" applyFill="1" applyBorder="1" applyAlignment="1">
      <alignment/>
    </xf>
    <xf numFmtId="170" fontId="6" fillId="2" borderId="0" xfId="0" applyNumberFormat="1" applyFont="1" applyFill="1" applyBorder="1" applyAlignment="1">
      <alignment/>
    </xf>
    <xf numFmtId="164" fontId="0" fillId="2" borderId="6" xfId="0" applyFont="1" applyFill="1" applyBorder="1" applyAlignment="1">
      <alignment/>
    </xf>
    <xf numFmtId="164" fontId="0" fillId="2" borderId="7" xfId="0" applyFill="1" applyBorder="1" applyAlignment="1">
      <alignment/>
    </xf>
    <xf numFmtId="164" fontId="0" fillId="2" borderId="8" xfId="0" applyFill="1" applyBorder="1" applyAlignment="1">
      <alignment/>
    </xf>
    <xf numFmtId="167" fontId="0" fillId="2" borderId="0" xfId="0" applyNumberFormat="1" applyFill="1" applyBorder="1" applyAlignment="1">
      <alignment/>
    </xf>
    <xf numFmtId="164" fontId="0" fillId="2" borderId="4" xfId="0" applyFont="1" applyFill="1" applyBorder="1" applyAlignment="1">
      <alignment horizontal="left"/>
    </xf>
    <xf numFmtId="170" fontId="0" fillId="2" borderId="0" xfId="0" applyNumberFormat="1" applyFill="1" applyBorder="1" applyAlignment="1">
      <alignment/>
    </xf>
    <xf numFmtId="164" fontId="4" fillId="2" borderId="7" xfId="0" applyFont="1" applyFill="1" applyBorder="1" applyAlignment="1">
      <alignment horizontal="right"/>
    </xf>
    <xf numFmtId="167" fontId="0" fillId="2" borderId="8" xfId="0" applyNumberFormat="1" applyFill="1" applyBorder="1" applyAlignment="1">
      <alignment/>
    </xf>
    <xf numFmtId="167" fontId="0" fillId="2" borderId="2" xfId="0" applyNumberFormat="1" applyFill="1" applyBorder="1" applyAlignment="1">
      <alignment/>
    </xf>
    <xf numFmtId="164" fontId="4" fillId="2" borderId="0" xfId="0" applyFont="1" applyFill="1" applyBorder="1" applyAlignment="1">
      <alignment/>
    </xf>
    <xf numFmtId="164" fontId="4" fillId="2" borderId="0" xfId="0" applyFont="1" applyFill="1" applyAlignment="1">
      <alignment horizontal="left"/>
    </xf>
    <xf numFmtId="167" fontId="0" fillId="2" borderId="7" xfId="0" applyNumberFormat="1" applyFill="1" applyBorder="1" applyAlignment="1">
      <alignment/>
    </xf>
    <xf numFmtId="170" fontId="0" fillId="2" borderId="0" xfId="0" applyNumberFormat="1" applyFill="1" applyAlignment="1">
      <alignment/>
    </xf>
    <xf numFmtId="171" fontId="0" fillId="2" borderId="0" xfId="19" applyNumberFormat="1" applyFont="1" applyFill="1" applyBorder="1" applyAlignment="1" applyProtection="1">
      <alignment/>
      <protection/>
    </xf>
    <xf numFmtId="172" fontId="0" fillId="2" borderId="0" xfId="0" applyNumberFormat="1" applyFill="1" applyAlignment="1">
      <alignment/>
    </xf>
    <xf numFmtId="164" fontId="4" fillId="2" borderId="9" xfId="0" applyFont="1" applyFill="1" applyBorder="1" applyAlignment="1">
      <alignment/>
    </xf>
    <xf numFmtId="164" fontId="0" fillId="2" borderId="10" xfId="0" applyFill="1" applyBorder="1" applyAlignment="1">
      <alignment/>
    </xf>
    <xf numFmtId="164" fontId="0" fillId="2" borderId="11" xfId="0" applyFill="1" applyBorder="1" applyAlignment="1">
      <alignment/>
    </xf>
    <xf numFmtId="164" fontId="0" fillId="2" borderId="12" xfId="0" applyFont="1" applyFill="1" applyBorder="1" applyAlignment="1">
      <alignment/>
    </xf>
    <xf numFmtId="164" fontId="0" fillId="2" borderId="13" xfId="0" applyFill="1" applyBorder="1" applyAlignment="1">
      <alignment/>
    </xf>
    <xf numFmtId="164" fontId="0" fillId="2" borderId="0" xfId="0" applyFont="1" applyFill="1" applyAlignment="1">
      <alignment horizontal="left"/>
    </xf>
    <xf numFmtId="164" fontId="0" fillId="0" borderId="0" xfId="0" applyFont="1" applyAlignment="1">
      <alignment horizontal="left" wrapText="1"/>
    </xf>
    <xf numFmtId="164" fontId="7" fillId="2" borderId="0" xfId="0" applyFont="1" applyFill="1" applyAlignment="1">
      <alignment/>
    </xf>
    <xf numFmtId="169" fontId="7" fillId="2" borderId="0" xfId="0" applyNumberFormat="1" applyFont="1" applyFill="1" applyAlignment="1">
      <alignment/>
    </xf>
    <xf numFmtId="164" fontId="0" fillId="2" borderId="0" xfId="0" applyFont="1" applyFill="1" applyAlignment="1">
      <alignment horizontal="left" wrapText="1"/>
    </xf>
    <xf numFmtId="164" fontId="0" fillId="2" borderId="0" xfId="0" applyFill="1" applyAlignment="1">
      <alignment horizontal="right"/>
    </xf>
    <xf numFmtId="164" fontId="0" fillId="2" borderId="14" xfId="0" applyFill="1" applyBorder="1" applyAlignment="1">
      <alignment/>
    </xf>
    <xf numFmtId="164" fontId="0" fillId="2" borderId="15" xfId="0" applyFill="1" applyBorder="1" applyAlignment="1">
      <alignment/>
    </xf>
    <xf numFmtId="164" fontId="0" fillId="2" borderId="16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omma [0]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90</xdr:row>
      <xdr:rowOff>76200</xdr:rowOff>
    </xdr:from>
    <xdr:to>
      <xdr:col>3</xdr:col>
      <xdr:colOff>695325</xdr:colOff>
      <xdr:row>96</xdr:row>
      <xdr:rowOff>95250</xdr:rowOff>
    </xdr:to>
    <xdr:sp fLocksText="0">
      <xdr:nvSpPr>
        <xdr:cNvPr id="1" name="Text 23"/>
        <xdr:cNvSpPr txBox="1">
          <a:spLocks noChangeArrowheads="1"/>
        </xdr:cNvSpPr>
      </xdr:nvSpPr>
      <xdr:spPr>
        <a:xfrm>
          <a:off x="219075" y="16516350"/>
          <a:ext cx="3057525" cy="11049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*The standard equation for air capacity is modified for the rotary engine by multiplying the result by 2. We do this because the standard equation assumes each cylinder fires every 2 revolutions. The 13B engine's 1308 displacement number is for one revolution so we multiply by 2.</a:t>
          </a:r>
        </a:p>
      </xdr:txBody>
    </xdr:sp>
    <xdr:clientData/>
  </xdr:twoCellAnchor>
  <xdr:twoCellAnchor>
    <xdr:from>
      <xdr:col>5</xdr:col>
      <xdr:colOff>47625</xdr:colOff>
      <xdr:row>112</xdr:row>
      <xdr:rowOff>19050</xdr:rowOff>
    </xdr:from>
    <xdr:to>
      <xdr:col>7</xdr:col>
      <xdr:colOff>533400</xdr:colOff>
      <xdr:row>118</xdr:row>
      <xdr:rowOff>123825</xdr:rowOff>
    </xdr:to>
    <xdr:sp fLocksText="0">
      <xdr:nvSpPr>
        <xdr:cNvPr id="2" name="Text 23"/>
        <xdr:cNvSpPr txBox="1">
          <a:spLocks noChangeArrowheads="1"/>
        </xdr:cNvSpPr>
      </xdr:nvSpPr>
      <xdr:spPr>
        <a:xfrm>
          <a:off x="3762375" y="20440650"/>
          <a:ext cx="3048000" cy="1190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*These correction factors (CF) are used by dyno shops to correct for nonstandard temperature, barometric pressure and humidity. SAE J1349 standard day is 77F, 29.23inHg pressure, 0% Relative Humidity. Motorsports Standard Atmosphere is 60F, 29.92 and 0% humidity. STD standard day is 68F, 29.92 and 0% humidity. Multiply your uncorrected dyno horsepower by the Correction Factor to get your corrected horsepower.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obrobinette.com/notes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vmlDrawing" Target="../drawings/vmlDrawing1.vm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9"/>
  <sheetViews>
    <sheetView tabSelected="1" workbookViewId="0" topLeftCell="A1">
      <selection activeCell="C8" sqref="C8"/>
    </sheetView>
  </sheetViews>
  <sheetFormatPr defaultColWidth="9.140625" defaultRowHeight="14.25" customHeight="1"/>
  <cols>
    <col min="1" max="1" width="3.140625" style="1" customWidth="1"/>
    <col min="2" max="2" width="21.7109375" style="1" customWidth="1"/>
    <col min="3" max="3" width="13.8515625" style="1" customWidth="1"/>
    <col min="4" max="4" width="10.57421875" style="1" customWidth="1"/>
    <col min="5" max="5" width="6.421875" style="1" customWidth="1"/>
    <col min="6" max="6" width="29.421875" style="1" customWidth="1"/>
    <col min="7" max="7" width="9.00390625" style="1" customWidth="1"/>
    <col min="8" max="8" width="9.140625" style="1" customWidth="1"/>
    <col min="9" max="9" width="10.8515625" style="1" customWidth="1"/>
    <col min="10" max="16384" width="9.00390625" style="1" customWidth="1"/>
  </cols>
  <sheetData>
    <row r="1" spans="2:7" ht="21" customHeight="1">
      <c r="B1" s="2" t="s">
        <v>0</v>
      </c>
      <c r="F1" s="3" t="s">
        <v>1</v>
      </c>
      <c r="G1" s="4" t="s">
        <v>2</v>
      </c>
    </row>
    <row r="2" spans="2:6" ht="14.25" customHeight="1">
      <c r="B2" s="5" t="s">
        <v>3</v>
      </c>
      <c r="D2" s="5"/>
      <c r="F2" s="6" t="s">
        <v>4</v>
      </c>
    </row>
    <row r="3" ht="14.25" customHeight="1">
      <c r="B3" s="7" t="s">
        <v>5</v>
      </c>
    </row>
    <row r="4" spans="2:15" s="8" customFormat="1" ht="14.25" customHeight="1">
      <c r="B4" s="9" t="s">
        <v>6</v>
      </c>
      <c r="F4" s="9" t="s">
        <v>7</v>
      </c>
      <c r="G4" s="1"/>
      <c r="H4" s="1"/>
      <c r="I4" s="1"/>
      <c r="J4" s="1"/>
      <c r="K4" s="10" t="s">
        <v>8</v>
      </c>
      <c r="L4" s="11"/>
      <c r="M4" s="11"/>
      <c r="N4" s="11"/>
      <c r="O4" s="12"/>
    </row>
    <row r="5" spans="2:15" s="8" customFormat="1" ht="15" customHeight="1">
      <c r="B5" s="9"/>
      <c r="F5" s="13" t="s">
        <v>9</v>
      </c>
      <c r="G5" s="1"/>
      <c r="H5" s="1"/>
      <c r="I5" s="1"/>
      <c r="J5" s="1"/>
      <c r="K5" s="14"/>
      <c r="L5" s="15"/>
      <c r="M5" s="15"/>
      <c r="N5" s="15"/>
      <c r="O5" s="16"/>
    </row>
    <row r="6" spans="2:15" s="8" customFormat="1" ht="15" customHeight="1">
      <c r="B6" s="9"/>
      <c r="F6" s="1" t="s">
        <v>10</v>
      </c>
      <c r="G6" s="17">
        <v>305</v>
      </c>
      <c r="H6" s="1"/>
      <c r="I6" s="1"/>
      <c r="J6" s="1"/>
      <c r="K6" s="14" t="s">
        <v>11</v>
      </c>
      <c r="L6" s="15"/>
      <c r="M6" s="15"/>
      <c r="N6" s="15">
        <f>654*2</f>
        <v>1308</v>
      </c>
      <c r="O6" s="16">
        <v>80</v>
      </c>
    </row>
    <row r="7" spans="2:15" s="8" customFormat="1" ht="15" customHeight="1">
      <c r="B7" s="9"/>
      <c r="F7" s="1" t="s">
        <v>12</v>
      </c>
      <c r="G7" s="18">
        <v>0.16</v>
      </c>
      <c r="H7" s="1"/>
      <c r="I7" s="1"/>
      <c r="J7" s="1"/>
      <c r="K7" s="14" t="s">
        <v>13</v>
      </c>
      <c r="L7" s="15"/>
      <c r="M7" s="15"/>
      <c r="N7" s="15"/>
      <c r="O7" s="19">
        <f>H8/O6</f>
        <v>4.422499999999999</v>
      </c>
    </row>
    <row r="8" spans="2:15" ht="14.25" customHeight="1">
      <c r="B8" s="1" t="s">
        <v>14</v>
      </c>
      <c r="C8" s="17">
        <v>357</v>
      </c>
      <c r="G8" s="20" t="s">
        <v>15</v>
      </c>
      <c r="H8" s="21">
        <f>hp*(1+drivetrainloss)</f>
        <v>353.79999999999995</v>
      </c>
      <c r="K8" s="14" t="s">
        <v>16</v>
      </c>
      <c r="L8" s="15"/>
      <c r="M8" s="15"/>
      <c r="N8" s="22" t="s">
        <v>17</v>
      </c>
      <c r="O8" s="16"/>
    </row>
    <row r="9" spans="2:15" ht="14.25" customHeight="1">
      <c r="B9" s="1" t="s">
        <v>18</v>
      </c>
      <c r="C9" s="23">
        <v>255</v>
      </c>
      <c r="F9" s="9" t="s">
        <v>19</v>
      </c>
      <c r="G9" s="24"/>
      <c r="K9" s="14" t="s">
        <v>20</v>
      </c>
      <c r="L9" s="15"/>
      <c r="M9" s="15"/>
      <c r="N9" s="15" t="s">
        <v>21</v>
      </c>
      <c r="O9" s="16"/>
    </row>
    <row r="10" spans="2:15" ht="15" customHeight="1">
      <c r="B10" s="1" t="s">
        <v>22</v>
      </c>
      <c r="C10" s="23">
        <v>158</v>
      </c>
      <c r="F10" s="25" t="s">
        <v>23</v>
      </c>
      <c r="G10" s="24"/>
      <c r="K10" s="14" t="s">
        <v>24</v>
      </c>
      <c r="L10" s="15"/>
      <c r="M10" s="15"/>
      <c r="N10" s="15" t="s">
        <v>25</v>
      </c>
      <c r="O10" s="16"/>
    </row>
    <row r="11" spans="3:15" ht="14.25" customHeight="1">
      <c r="C11" s="20" t="s">
        <v>26</v>
      </c>
      <c r="D11" s="21">
        <f>(horsepower/stock_horsepower)^(1/3)*stock_top_speed</f>
        <v>176.7528528488607</v>
      </c>
      <c r="F11" s="1" t="s">
        <v>27</v>
      </c>
      <c r="G11" s="26">
        <v>354</v>
      </c>
      <c r="K11" s="27" t="s">
        <v>28</v>
      </c>
      <c r="L11" s="15"/>
      <c r="M11" s="15"/>
      <c r="N11" s="15"/>
      <c r="O11" s="16"/>
    </row>
    <row r="12" spans="3:15" ht="15" customHeight="1">
      <c r="C12" s="20"/>
      <c r="D12" s="21"/>
      <c r="F12" s="1" t="s">
        <v>12</v>
      </c>
      <c r="G12" s="18">
        <v>0.16</v>
      </c>
      <c r="K12" s="14" t="s">
        <v>29</v>
      </c>
      <c r="L12" s="15"/>
      <c r="M12" s="15" t="s">
        <v>30</v>
      </c>
      <c r="N12" s="15">
        <v>3.483</v>
      </c>
      <c r="O12" s="16"/>
    </row>
    <row r="13" spans="2:15" ht="14.25" customHeight="1">
      <c r="B13" s="28" t="s">
        <v>31</v>
      </c>
      <c r="C13" s="29"/>
      <c r="D13" s="30"/>
      <c r="G13" s="31" t="s">
        <v>15</v>
      </c>
      <c r="H13" s="1">
        <f>G11*(1-G12)</f>
        <v>297.36</v>
      </c>
      <c r="K13" s="14"/>
      <c r="L13" s="15"/>
      <c r="M13" s="15" t="s">
        <v>32</v>
      </c>
      <c r="N13" s="15">
        <v>2.015</v>
      </c>
      <c r="O13" s="16"/>
    </row>
    <row r="14" spans="2:15" ht="14.25" customHeight="1">
      <c r="B14" s="32"/>
      <c r="C14" s="33"/>
      <c r="D14" s="34"/>
      <c r="G14" s="20"/>
      <c r="H14" s="21"/>
      <c r="K14" s="14"/>
      <c r="L14" s="15"/>
      <c r="M14" s="15" t="s">
        <v>33</v>
      </c>
      <c r="N14" s="15">
        <v>1.391</v>
      </c>
      <c r="O14" s="16"/>
    </row>
    <row r="15" spans="2:15" ht="14.25" customHeight="1">
      <c r="B15" s="32"/>
      <c r="C15" s="33"/>
      <c r="D15" s="34"/>
      <c r="F15" s="10" t="s">
        <v>34</v>
      </c>
      <c r="G15" s="11"/>
      <c r="H15" s="11"/>
      <c r="I15" s="12"/>
      <c r="K15" s="14"/>
      <c r="L15" s="15"/>
      <c r="M15" s="15" t="s">
        <v>35</v>
      </c>
      <c r="N15" s="15">
        <v>1</v>
      </c>
      <c r="O15" s="16"/>
    </row>
    <row r="16" spans="2:15" ht="14.25" customHeight="1">
      <c r="B16" s="35"/>
      <c r="C16" s="15"/>
      <c r="D16" s="16"/>
      <c r="F16" s="27" t="s">
        <v>36</v>
      </c>
      <c r="G16" s="15"/>
      <c r="H16" s="15"/>
      <c r="I16" s="16"/>
      <c r="K16" s="36"/>
      <c r="L16" s="36" t="s">
        <v>37</v>
      </c>
      <c r="M16" s="15" t="s">
        <v>38</v>
      </c>
      <c r="N16" s="15">
        <v>0.719</v>
      </c>
      <c r="O16" s="16"/>
    </row>
    <row r="17" spans="2:15" ht="14.25" customHeight="1">
      <c r="B17" s="14" t="s">
        <v>39</v>
      </c>
      <c r="C17" s="37">
        <v>3010</v>
      </c>
      <c r="D17" s="16"/>
      <c r="F17" s="14" t="s">
        <v>40</v>
      </c>
      <c r="G17" s="37">
        <v>222</v>
      </c>
      <c r="H17" s="15"/>
      <c r="I17" s="16"/>
      <c r="K17" s="14"/>
      <c r="L17" s="15"/>
      <c r="M17" s="15" t="s">
        <v>41</v>
      </c>
      <c r="N17" s="15">
        <v>3.2880000000000003</v>
      </c>
      <c r="O17" s="16"/>
    </row>
    <row r="18" spans="2:15" ht="14.25" customHeight="1">
      <c r="B18" s="14" t="s">
        <v>42</v>
      </c>
      <c r="C18" s="38">
        <v>109</v>
      </c>
      <c r="D18" s="16"/>
      <c r="F18" s="14" t="s">
        <v>43</v>
      </c>
      <c r="G18" s="37">
        <f>N12</f>
        <v>3.483</v>
      </c>
      <c r="H18" s="15"/>
      <c r="I18" s="16"/>
      <c r="K18" s="39" t="s">
        <v>44</v>
      </c>
      <c r="L18" s="40"/>
      <c r="M18" s="40"/>
      <c r="N18" s="40">
        <v>4.1</v>
      </c>
      <c r="O18" s="41"/>
    </row>
    <row r="19" spans="2:9" ht="14.25" customHeight="1">
      <c r="B19" s="14"/>
      <c r="C19" s="33" t="s">
        <v>15</v>
      </c>
      <c r="D19" s="34">
        <f>weight*(trapspeed/234)^3</f>
        <v>304.2274639691361</v>
      </c>
      <c r="F19" s="14" t="s">
        <v>45</v>
      </c>
      <c r="G19" s="37">
        <f>N18</f>
        <v>4.1</v>
      </c>
      <c r="H19" s="15"/>
      <c r="I19" s="16"/>
    </row>
    <row r="20" spans="2:14" ht="15" customHeight="1">
      <c r="B20" s="32" t="s">
        <v>46</v>
      </c>
      <c r="C20" s="33"/>
      <c r="D20" s="34"/>
      <c r="F20" s="14" t="s">
        <v>47</v>
      </c>
      <c r="G20" s="37">
        <v>0.84</v>
      </c>
      <c r="H20" s="15"/>
      <c r="I20" s="16"/>
      <c r="K20" s="10" t="s">
        <v>48</v>
      </c>
      <c r="L20" s="11"/>
      <c r="M20" s="11"/>
      <c r="N20" s="12"/>
    </row>
    <row r="21" spans="2:14" ht="15" customHeight="1">
      <c r="B21" s="27" t="s">
        <v>49</v>
      </c>
      <c r="C21" s="33"/>
      <c r="D21" s="34"/>
      <c r="F21" s="14"/>
      <c r="G21" s="33" t="s">
        <v>50</v>
      </c>
      <c r="H21" s="42">
        <f>G17*G18*G19*G20</f>
        <v>2662.9903439999994</v>
      </c>
      <c r="I21" s="16"/>
      <c r="K21" s="14" t="s">
        <v>51</v>
      </c>
      <c r="L21" s="15"/>
      <c r="M21" s="15"/>
      <c r="N21" s="16"/>
    </row>
    <row r="22" spans="2:14" ht="14.25" customHeight="1">
      <c r="B22" s="14" t="s">
        <v>52</v>
      </c>
      <c r="C22" s="38">
        <v>12.5</v>
      </c>
      <c r="D22" s="16"/>
      <c r="F22" s="14"/>
      <c r="G22" s="15"/>
      <c r="H22" s="42"/>
      <c r="I22" s="16"/>
      <c r="J22" s="15"/>
      <c r="K22" s="39" t="s">
        <v>53</v>
      </c>
      <c r="L22" s="40"/>
      <c r="M22" s="40"/>
      <c r="N22" s="41"/>
    </row>
    <row r="23" spans="2:10" ht="14.25" customHeight="1">
      <c r="B23" s="14"/>
      <c r="C23" s="33" t="s">
        <v>15</v>
      </c>
      <c r="D23" s="34">
        <f>weight/(ET/5.825)^3</f>
        <v>304.5960349600001</v>
      </c>
      <c r="F23" s="32" t="s">
        <v>54</v>
      </c>
      <c r="G23" s="15"/>
      <c r="H23" s="42"/>
      <c r="I23" s="16"/>
      <c r="J23" s="15"/>
    </row>
    <row r="24" spans="2:13" ht="14.25" customHeight="1">
      <c r="B24" s="14"/>
      <c r="C24" s="33"/>
      <c r="D24" s="34"/>
      <c r="F24" s="14"/>
      <c r="G24" s="15"/>
      <c r="H24" s="42"/>
      <c r="I24" s="16"/>
      <c r="J24" s="15"/>
      <c r="K24" s="10" t="s">
        <v>55</v>
      </c>
      <c r="L24" s="11"/>
      <c r="M24" s="12"/>
    </row>
    <row r="25" spans="2:13" ht="14.25" customHeight="1">
      <c r="B25" s="32" t="s">
        <v>56</v>
      </c>
      <c r="C25" s="33"/>
      <c r="D25" s="34"/>
      <c r="F25" s="14"/>
      <c r="G25" s="15"/>
      <c r="H25" s="42"/>
      <c r="I25" s="16"/>
      <c r="J25" s="15"/>
      <c r="K25" s="43" t="s">
        <v>57</v>
      </c>
      <c r="L25" s="15"/>
      <c r="M25" s="16"/>
    </row>
    <row r="26" spans="2:13" ht="14.25" customHeight="1">
      <c r="B26" s="14"/>
      <c r="C26" s="33"/>
      <c r="D26" s="34"/>
      <c r="F26" s="14"/>
      <c r="G26" s="15"/>
      <c r="H26" s="42"/>
      <c r="I26" s="16"/>
      <c r="J26" s="15"/>
      <c r="K26" s="43" t="s">
        <v>58</v>
      </c>
      <c r="L26" s="15"/>
      <c r="M26" s="16"/>
    </row>
    <row r="27" spans="2:14" ht="14.25" customHeight="1">
      <c r="B27" s="14"/>
      <c r="C27" s="33"/>
      <c r="D27" s="34"/>
      <c r="F27" s="14" t="s">
        <v>59</v>
      </c>
      <c r="G27" s="37">
        <f>25.3/2</f>
        <v>12.65</v>
      </c>
      <c r="H27" s="15"/>
      <c r="I27" s="16"/>
      <c r="J27" s="15"/>
      <c r="K27" s="39" t="s">
        <v>60</v>
      </c>
      <c r="L27" s="40"/>
      <c r="M27" s="41"/>
      <c r="N27" s="15"/>
    </row>
    <row r="28" spans="2:14" ht="14.25" customHeight="1">
      <c r="B28" s="35"/>
      <c r="C28" s="15"/>
      <c r="D28" s="16"/>
      <c r="F28" s="14"/>
      <c r="G28" s="33" t="s">
        <v>61</v>
      </c>
      <c r="H28" s="42">
        <f>H21/(G27/12)</f>
        <v>2526.1568480632404</v>
      </c>
      <c r="I28" s="16"/>
      <c r="J28" s="15"/>
      <c r="K28" s="15"/>
      <c r="L28" s="15"/>
      <c r="M28" s="15"/>
      <c r="N28" s="15"/>
    </row>
    <row r="29" spans="2:14" ht="14.25" customHeight="1">
      <c r="B29" s="14" t="s">
        <v>62</v>
      </c>
      <c r="C29" s="38">
        <v>305</v>
      </c>
      <c r="D29" s="16"/>
      <c r="F29" s="14"/>
      <c r="G29" s="15"/>
      <c r="H29" s="42"/>
      <c r="I29" s="16"/>
      <c r="K29" s="15"/>
      <c r="L29" s="15"/>
      <c r="M29" s="15"/>
      <c r="N29" s="15"/>
    </row>
    <row r="30" spans="2:14" ht="14.25" customHeight="1">
      <c r="B30" s="14"/>
      <c r="C30" s="33" t="s">
        <v>63</v>
      </c>
      <c r="D30" s="19">
        <f>(weight/C29)^(1/3)*5.825</f>
        <v>12.494478913680068</v>
      </c>
      <c r="F30" s="32" t="s">
        <v>64</v>
      </c>
      <c r="G30" s="15"/>
      <c r="H30" s="42"/>
      <c r="I30" s="16"/>
      <c r="K30" s="15"/>
      <c r="L30" s="15"/>
      <c r="M30" s="15"/>
      <c r="N30" s="15"/>
    </row>
    <row r="31" spans="2:14" ht="14.25" customHeight="1">
      <c r="B31" s="14"/>
      <c r="C31" s="33"/>
      <c r="D31" s="34"/>
      <c r="F31" s="14"/>
      <c r="G31" s="15"/>
      <c r="H31" s="42"/>
      <c r="I31" s="16"/>
      <c r="K31" s="15"/>
      <c r="L31" s="15"/>
      <c r="M31" s="15"/>
      <c r="N31" s="15"/>
    </row>
    <row r="32" spans="2:14" ht="14.25" customHeight="1">
      <c r="B32" s="32" t="s">
        <v>65</v>
      </c>
      <c r="C32" s="33"/>
      <c r="D32" s="34"/>
      <c r="F32" s="14"/>
      <c r="G32" s="15"/>
      <c r="H32" s="42"/>
      <c r="I32" s="16"/>
      <c r="K32" s="15"/>
      <c r="L32" s="15"/>
      <c r="M32" s="15"/>
      <c r="N32" s="15"/>
    </row>
    <row r="33" spans="2:14" ht="14.25" customHeight="1">
      <c r="B33" s="32"/>
      <c r="C33" s="33"/>
      <c r="D33" s="34"/>
      <c r="F33" s="14"/>
      <c r="G33" s="15"/>
      <c r="H33" s="42"/>
      <c r="I33" s="16"/>
      <c r="K33" s="15"/>
      <c r="L33" s="15"/>
      <c r="M33" s="15"/>
      <c r="N33" s="15"/>
    </row>
    <row r="34" spans="2:9" ht="14.25" customHeight="1">
      <c r="B34" s="14"/>
      <c r="C34" s="33"/>
      <c r="D34" s="34"/>
      <c r="F34" s="14" t="s">
        <v>39</v>
      </c>
      <c r="G34" s="37">
        <v>3010</v>
      </c>
      <c r="H34" s="15"/>
      <c r="I34" s="16"/>
    </row>
    <row r="35" spans="2:9" ht="14.25" customHeight="1">
      <c r="B35" s="14"/>
      <c r="C35" s="33"/>
      <c r="D35" s="34"/>
      <c r="F35" s="14"/>
      <c r="G35" s="33" t="s">
        <v>66</v>
      </c>
      <c r="H35" s="44">
        <f>H28/G34</f>
        <v>0.8392547667984187</v>
      </c>
      <c r="I35" s="16"/>
    </row>
    <row r="36" spans="2:9" ht="14.25" customHeight="1">
      <c r="B36" s="39"/>
      <c r="C36" s="45" t="s">
        <v>67</v>
      </c>
      <c r="D36" s="46">
        <f>(C29/C17)^(1/3)*234</f>
        <v>109.09218458943586</v>
      </c>
      <c r="F36" s="14"/>
      <c r="G36" s="33"/>
      <c r="H36" s="44"/>
      <c r="I36" s="16"/>
    </row>
    <row r="37" spans="2:9" ht="14.25" customHeight="1">
      <c r="B37" s="15"/>
      <c r="C37" s="33"/>
      <c r="D37" s="47"/>
      <c r="F37" s="32" t="s">
        <v>68</v>
      </c>
      <c r="G37" s="33"/>
      <c r="H37" s="44"/>
      <c r="I37" s="16"/>
    </row>
    <row r="38" spans="2:9" ht="14.25" customHeight="1">
      <c r="B38" s="48" t="s">
        <v>69</v>
      </c>
      <c r="C38" s="33"/>
      <c r="D38" s="42"/>
      <c r="F38" s="14"/>
      <c r="G38" s="33"/>
      <c r="H38" s="44"/>
      <c r="I38" s="16"/>
    </row>
    <row r="39" spans="2:9" ht="14.25" customHeight="1">
      <c r="B39" s="48"/>
      <c r="C39" s="33"/>
      <c r="D39" s="42"/>
      <c r="F39" s="14"/>
      <c r="G39" s="33"/>
      <c r="H39" s="44"/>
      <c r="I39" s="16"/>
    </row>
    <row r="40" spans="2:9" ht="14.25" customHeight="1">
      <c r="B40" s="48"/>
      <c r="C40" s="33"/>
      <c r="D40" s="42"/>
      <c r="F40" s="14"/>
      <c r="G40" s="15"/>
      <c r="H40" s="44"/>
      <c r="I40" s="16"/>
    </row>
    <row r="41" spans="2:9" ht="14.25" customHeight="1">
      <c r="B41" s="42"/>
      <c r="F41" s="14" t="s">
        <v>70</v>
      </c>
      <c r="G41" s="37">
        <v>18</v>
      </c>
      <c r="H41" s="15"/>
      <c r="I41" s="16"/>
    </row>
    <row r="42" spans="2:9" ht="14.25" customHeight="1">
      <c r="B42" s="1" t="s">
        <v>71</v>
      </c>
      <c r="C42" s="23">
        <v>250</v>
      </c>
      <c r="F42" s="14" t="s">
        <v>72</v>
      </c>
      <c r="G42" s="37">
        <v>98</v>
      </c>
      <c r="H42" s="15"/>
      <c r="I42" s="16"/>
    </row>
    <row r="43" spans="2:9" ht="14.25" customHeight="1">
      <c r="B43" s="1" t="s">
        <v>73</v>
      </c>
      <c r="C43" s="23">
        <v>7500</v>
      </c>
      <c r="F43" s="14"/>
      <c r="G43" s="33" t="s">
        <v>74</v>
      </c>
      <c r="H43" s="42">
        <f>((G34*G41)/G42)*H35</f>
        <v>463.9879925014115</v>
      </c>
      <c r="I43" s="16"/>
    </row>
    <row r="44" spans="2:9" ht="14.25" customHeight="1">
      <c r="B44" s="15"/>
      <c r="C44" s="33" t="s">
        <v>15</v>
      </c>
      <c r="D44" s="42">
        <f>(RPM*Torque)/5252</f>
        <v>357.006854531607</v>
      </c>
      <c r="F44" s="14"/>
      <c r="G44" s="15"/>
      <c r="H44" s="15"/>
      <c r="I44" s="16"/>
    </row>
    <row r="45" spans="2:9" ht="14.25" customHeight="1">
      <c r="B45" s="15"/>
      <c r="C45" s="33"/>
      <c r="D45" s="42"/>
      <c r="F45" s="14" t="s">
        <v>75</v>
      </c>
      <c r="G45" s="15"/>
      <c r="H45" s="15"/>
      <c r="I45" s="16"/>
    </row>
    <row r="46" spans="2:9" ht="14.25" customHeight="1">
      <c r="B46" s="49" t="s">
        <v>76</v>
      </c>
      <c r="C46" s="33"/>
      <c r="D46" s="42"/>
      <c r="F46" s="14"/>
      <c r="G46" s="15"/>
      <c r="H46" s="15"/>
      <c r="I46" s="16"/>
    </row>
    <row r="47" spans="2:9" ht="14.25" customHeight="1">
      <c r="B47" s="49"/>
      <c r="C47" s="33"/>
      <c r="D47" s="42"/>
      <c r="F47" s="14"/>
      <c r="G47" s="15"/>
      <c r="H47" s="15"/>
      <c r="I47" s="16"/>
    </row>
    <row r="48" spans="2:9" ht="14.25" customHeight="1">
      <c r="B48" s="49"/>
      <c r="C48" s="33"/>
      <c r="D48" s="42"/>
      <c r="F48" s="14"/>
      <c r="G48" s="15"/>
      <c r="H48" s="15"/>
      <c r="I48" s="16"/>
    </row>
    <row r="49" spans="2:9" ht="14.25" customHeight="1">
      <c r="B49" s="15"/>
      <c r="C49" s="33"/>
      <c r="D49" s="42"/>
      <c r="F49" s="14" t="s">
        <v>77</v>
      </c>
      <c r="G49" s="37">
        <v>72</v>
      </c>
      <c r="H49" s="15"/>
      <c r="I49" s="16"/>
    </row>
    <row r="50" spans="2:9" ht="14.25" customHeight="1">
      <c r="B50" s="1" t="s">
        <v>78</v>
      </c>
      <c r="C50" s="23">
        <v>357</v>
      </c>
      <c r="F50" s="14" t="s">
        <v>79</v>
      </c>
      <c r="G50" s="37">
        <v>0.95</v>
      </c>
      <c r="H50" s="15"/>
      <c r="I50" s="16"/>
    </row>
    <row r="51" spans="2:9" ht="14.25" customHeight="1">
      <c r="B51" s="1" t="s">
        <v>73</v>
      </c>
      <c r="C51" s="23">
        <v>7500</v>
      </c>
      <c r="F51" s="39"/>
      <c r="G51" s="45" t="s">
        <v>80</v>
      </c>
      <c r="H51" s="50">
        <f>((G34*G41)/G49)*G50</f>
        <v>714.875</v>
      </c>
      <c r="I51" s="41"/>
    </row>
    <row r="52" spans="3:8" ht="14.25" customHeight="1">
      <c r="C52" s="20" t="s">
        <v>81</v>
      </c>
      <c r="D52" s="21">
        <f>(5252*Horsepower2)/C51</f>
        <v>249.9952</v>
      </c>
      <c r="H52" s="42"/>
    </row>
    <row r="53" spans="3:8" ht="14.25" customHeight="1">
      <c r="C53" s="20"/>
      <c r="D53" s="21"/>
      <c r="F53" s="9" t="s">
        <v>82</v>
      </c>
      <c r="H53" s="21"/>
    </row>
    <row r="54" spans="2:8" ht="14.25" customHeight="1">
      <c r="B54" s="9" t="s">
        <v>83</v>
      </c>
      <c r="C54" s="20"/>
      <c r="D54" s="21"/>
      <c r="H54" s="21"/>
    </row>
    <row r="55" spans="3:8" ht="14.25" customHeight="1">
      <c r="C55" s="20"/>
      <c r="D55" s="21"/>
      <c r="H55" s="21"/>
    </row>
    <row r="56" spans="3:8" ht="14.25" customHeight="1">
      <c r="C56" s="20"/>
      <c r="D56" s="21"/>
      <c r="H56" s="21"/>
    </row>
    <row r="57" spans="3:9" ht="14.25" customHeight="1">
      <c r="C57" s="20"/>
      <c r="D57" s="21"/>
      <c r="F57" s="1" t="s">
        <v>84</v>
      </c>
      <c r="G57" s="23">
        <v>265</v>
      </c>
      <c r="H57" s="3" t="s">
        <v>85</v>
      </c>
      <c r="I57" s="51">
        <f>G57/25.4</f>
        <v>10.433070866141733</v>
      </c>
    </row>
    <row r="58" spans="2:7" ht="14.25" customHeight="1">
      <c r="B58" s="1" t="s">
        <v>86</v>
      </c>
      <c r="C58" s="23">
        <v>345</v>
      </c>
      <c r="F58" s="1" t="s">
        <v>87</v>
      </c>
      <c r="G58" s="23">
        <v>35</v>
      </c>
    </row>
    <row r="59" spans="2:7" ht="14.25" customHeight="1">
      <c r="B59" s="1" t="s">
        <v>88</v>
      </c>
      <c r="C59" s="23">
        <v>6500</v>
      </c>
      <c r="F59" s="1" t="s">
        <v>89</v>
      </c>
      <c r="G59" s="23">
        <v>18</v>
      </c>
    </row>
    <row r="60" spans="3:8" ht="14.25" customHeight="1">
      <c r="C60" s="20" t="s">
        <v>15</v>
      </c>
      <c r="D60" s="1">
        <f>HP_SL*(1-(altitude/1000*0.03))</f>
        <v>277.72499999999997</v>
      </c>
      <c r="G60" s="20" t="s">
        <v>90</v>
      </c>
      <c r="H60" s="51">
        <f>2*(G57/25.4)*(G58/100)+G59</f>
        <v>25.303149606299215</v>
      </c>
    </row>
    <row r="61" spans="2:8" ht="14.25" customHeight="1">
      <c r="B61" s="15"/>
      <c r="C61" s="33"/>
      <c r="G61" s="20"/>
      <c r="H61" s="51"/>
    </row>
    <row r="62" spans="2:8" ht="14.25" customHeight="1">
      <c r="B62" s="48" t="s">
        <v>91</v>
      </c>
      <c r="C62" s="33"/>
      <c r="D62" s="42"/>
      <c r="F62" s="9" t="s">
        <v>92</v>
      </c>
      <c r="G62" s="20"/>
      <c r="H62" s="51"/>
    </row>
    <row r="63" spans="2:8" ht="14.25" customHeight="1">
      <c r="B63" s="15"/>
      <c r="C63" s="33"/>
      <c r="D63" s="42"/>
      <c r="G63" s="20"/>
      <c r="H63" s="51"/>
    </row>
    <row r="64" spans="2:8" ht="14.25" customHeight="1">
      <c r="B64" s="15"/>
      <c r="C64" s="33"/>
      <c r="D64" s="42"/>
      <c r="G64" s="20"/>
      <c r="H64" s="51"/>
    </row>
    <row r="65" ht="14.25" customHeight="1">
      <c r="H65" s="51"/>
    </row>
    <row r="66" spans="2:7" ht="14.25" customHeight="1">
      <c r="B66" s="1" t="s">
        <v>93</v>
      </c>
      <c r="C66" s="23">
        <v>144</v>
      </c>
      <c r="F66" s="1" t="s">
        <v>94</v>
      </c>
      <c r="G66" s="23">
        <v>59</v>
      </c>
    </row>
    <row r="67" spans="2:8" ht="14.25" customHeight="1">
      <c r="B67" s="1" t="s">
        <v>62</v>
      </c>
      <c r="C67" s="23">
        <v>345</v>
      </c>
      <c r="G67" s="20" t="s">
        <v>95</v>
      </c>
      <c r="H67" s="21">
        <f>3600/G66</f>
        <v>61.016949152542374</v>
      </c>
    </row>
    <row r="68" spans="2:8" ht="14.25" customHeight="1">
      <c r="B68" s="25" t="s">
        <v>96</v>
      </c>
      <c r="G68" s="20"/>
      <c r="H68" s="21"/>
    </row>
    <row r="69" spans="3:8" ht="14.25" customHeight="1">
      <c r="C69" s="20" t="s">
        <v>97</v>
      </c>
      <c r="D69" s="1">
        <f>Fuel_Pounds_Per_Hour/horsepower3</f>
        <v>0.41739130434782606</v>
      </c>
      <c r="F69" s="9" t="s">
        <v>98</v>
      </c>
      <c r="G69" s="20"/>
      <c r="H69" s="21"/>
    </row>
    <row r="70" spans="3:8" ht="14.25" customHeight="1">
      <c r="C70" s="20"/>
      <c r="G70" s="20"/>
      <c r="H70" s="21"/>
    </row>
    <row r="71" spans="2:8" ht="14.25" customHeight="1">
      <c r="B71" s="49" t="s">
        <v>99</v>
      </c>
      <c r="C71" s="20"/>
      <c r="G71" s="20"/>
      <c r="H71" s="21"/>
    </row>
    <row r="72" ht="14.25" customHeight="1">
      <c r="C72" s="20"/>
    </row>
    <row r="73" spans="3:8" ht="14.25" customHeight="1">
      <c r="C73" s="20"/>
      <c r="F73" s="1" t="s">
        <v>100</v>
      </c>
      <c r="H73" s="23">
        <v>0.30000000000000004</v>
      </c>
    </row>
    <row r="74" spans="6:8" ht="14.25" customHeight="1">
      <c r="F74" s="1" t="s">
        <v>101</v>
      </c>
      <c r="H74" s="23">
        <v>5</v>
      </c>
    </row>
    <row r="75" spans="7:8" ht="14.25" customHeight="1">
      <c r="G75" s="20" t="s">
        <v>102</v>
      </c>
      <c r="H75" s="52">
        <f>(H73/H74)</f>
        <v>0.06000000000000001</v>
      </c>
    </row>
    <row r="76" spans="2:3" ht="14.25" customHeight="1">
      <c r="B76" s="1" t="s">
        <v>73</v>
      </c>
      <c r="C76" s="23">
        <v>8200</v>
      </c>
    </row>
    <row r="77" spans="2:6" ht="14.25" customHeight="1">
      <c r="B77" s="1" t="s">
        <v>103</v>
      </c>
      <c r="C77" s="23">
        <v>2200</v>
      </c>
      <c r="F77" s="9" t="s">
        <v>104</v>
      </c>
    </row>
    <row r="78" spans="3:7" ht="14.25" customHeight="1">
      <c r="C78" s="20" t="s">
        <v>105</v>
      </c>
      <c r="D78" s="21">
        <f>((RPM2*(Displacement_EAC/1000*61.023744))/3456)</f>
        <v>291.34600000000006</v>
      </c>
      <c r="F78" s="1" t="s">
        <v>106</v>
      </c>
      <c r="G78" s="23">
        <v>0.965</v>
      </c>
    </row>
    <row r="79" spans="3:8" ht="14.25" customHeight="1">
      <c r="C79" s="3" t="s">
        <v>107</v>
      </c>
      <c r="D79" s="21"/>
      <c r="G79" s="20" t="s">
        <v>108</v>
      </c>
      <c r="H79" s="51">
        <f>G78*14.503774</f>
        <v>13.996141909999999</v>
      </c>
    </row>
    <row r="80" ht="14.25" customHeight="1">
      <c r="C80" s="20"/>
    </row>
    <row r="81" spans="2:6" ht="14.25" customHeight="1">
      <c r="B81" s="49" t="s">
        <v>109</v>
      </c>
      <c r="C81" s="20"/>
      <c r="F81" s="9" t="s">
        <v>110</v>
      </c>
    </row>
    <row r="82" spans="3:7" ht="14.25" customHeight="1">
      <c r="C82" s="20"/>
      <c r="F82" s="1" t="s">
        <v>111</v>
      </c>
      <c r="G82" s="23">
        <v>14</v>
      </c>
    </row>
    <row r="83" spans="3:8" ht="14.25" customHeight="1">
      <c r="C83" s="20"/>
      <c r="G83" s="20" t="s">
        <v>112</v>
      </c>
      <c r="H83" s="53">
        <f>G82*0.0689476</f>
        <v>0.9652664</v>
      </c>
    </row>
    <row r="84" ht="14.25" customHeight="1">
      <c r="F84" s="9" t="s">
        <v>113</v>
      </c>
    </row>
    <row r="85" spans="6:7" ht="14.25" customHeight="1">
      <c r="F85" s="1" t="s">
        <v>114</v>
      </c>
      <c r="G85" s="23">
        <v>25</v>
      </c>
    </row>
    <row r="86" spans="2:8" ht="14.25" customHeight="1">
      <c r="B86" s="1" t="s">
        <v>73</v>
      </c>
      <c r="C86" s="23">
        <v>7500</v>
      </c>
      <c r="G86" s="20" t="s">
        <v>115</v>
      </c>
      <c r="H86" s="51">
        <f>G85*1.3558179</f>
        <v>33.895447499999996</v>
      </c>
    </row>
    <row r="87" spans="2:3" ht="14.25" customHeight="1">
      <c r="B87" s="1" t="s">
        <v>103</v>
      </c>
      <c r="C87" s="23">
        <f>N6</f>
        <v>1308</v>
      </c>
    </row>
    <row r="88" spans="3:6" ht="14.25" customHeight="1">
      <c r="C88" s="20" t="s">
        <v>105</v>
      </c>
      <c r="D88" s="21">
        <f>((RPM2*(Displacement/1000*61.023744))/3456)*2</f>
        <v>346.43688</v>
      </c>
      <c r="F88" s="9" t="s">
        <v>116</v>
      </c>
    </row>
    <row r="89" spans="3:7" ht="14.25" customHeight="1">
      <c r="C89" s="3" t="s">
        <v>107</v>
      </c>
      <c r="D89" s="21"/>
      <c r="F89" s="1" t="s">
        <v>117</v>
      </c>
      <c r="G89" s="23">
        <v>33.9</v>
      </c>
    </row>
    <row r="90" spans="7:8" ht="14.25" customHeight="1">
      <c r="G90" s="20" t="s">
        <v>118</v>
      </c>
      <c r="H90" s="51">
        <f>G89*0.7375622</f>
        <v>25.003358579999997</v>
      </c>
    </row>
    <row r="92" ht="14.25" customHeight="1">
      <c r="F92" s="9" t="s">
        <v>119</v>
      </c>
    </row>
    <row r="93" ht="14.25" customHeight="1">
      <c r="F93" s="25" t="s">
        <v>120</v>
      </c>
    </row>
    <row r="94" spans="6:7" ht="14.25" customHeight="1">
      <c r="F94" s="1" t="s">
        <v>121</v>
      </c>
      <c r="G94" s="23">
        <v>3</v>
      </c>
    </row>
    <row r="95" spans="7:8" ht="14.25" customHeight="1">
      <c r="G95" s="20" t="s">
        <v>122</v>
      </c>
      <c r="H95" s="51">
        <f>G94*12</f>
        <v>36</v>
      </c>
    </row>
    <row r="97" spans="6:8" ht="14.25" customHeight="1">
      <c r="F97" s="54" t="s">
        <v>123</v>
      </c>
      <c r="G97" s="55"/>
      <c r="H97" s="56"/>
    </row>
    <row r="98" spans="2:8" ht="14.25" customHeight="1">
      <c r="B98" s="9" t="s">
        <v>124</v>
      </c>
      <c r="F98" s="57" t="s">
        <v>125</v>
      </c>
      <c r="G98" s="23">
        <v>77</v>
      </c>
      <c r="H98" s="58"/>
    </row>
    <row r="99" spans="6:8" ht="14.25" customHeight="1">
      <c r="F99" s="57" t="s">
        <v>126</v>
      </c>
      <c r="G99" s="23">
        <v>29.23</v>
      </c>
      <c r="H99" s="58"/>
    </row>
    <row r="100" spans="6:8" ht="14.25" customHeight="1">
      <c r="F100" s="57" t="s">
        <v>127</v>
      </c>
      <c r="G100" s="18">
        <v>1</v>
      </c>
      <c r="H100" s="58"/>
    </row>
    <row r="101" spans="6:8" ht="14.25" customHeight="1">
      <c r="F101" s="57" t="s">
        <v>128</v>
      </c>
      <c r="G101" s="23">
        <v>305</v>
      </c>
      <c r="H101" s="58"/>
    </row>
    <row r="102" spans="6:8" ht="14.25" customHeight="1">
      <c r="F102" s="57"/>
      <c r="G102" s="23"/>
      <c r="H102" s="58"/>
    </row>
    <row r="103" spans="2:8" ht="14.25" customHeight="1">
      <c r="B103" s="59" t="s">
        <v>129</v>
      </c>
      <c r="C103" s="23">
        <v>75</v>
      </c>
      <c r="F103" s="57"/>
      <c r="G103" s="3" t="s">
        <v>130</v>
      </c>
      <c r="H103" s="58">
        <f>6.1078*10^((7.5*((TempF-32)*5/9))/(237.3+((TempF-32)*5/9)))*0.02953*RelHumidity</f>
        <v>0.9353595861724538</v>
      </c>
    </row>
    <row r="104" spans="2:8" ht="14.25" customHeight="1">
      <c r="B104" s="59" t="s">
        <v>131</v>
      </c>
      <c r="C104" s="23">
        <v>10</v>
      </c>
      <c r="F104" s="57"/>
      <c r="G104" s="20"/>
      <c r="H104" s="58"/>
    </row>
    <row r="105" spans="4:8" ht="14.25" customHeight="1">
      <c r="D105" s="1">
        <f>(C103*1.225)/C104^2</f>
        <v>0.91875</v>
      </c>
      <c r="F105" s="57"/>
      <c r="G105" s="20" t="s">
        <v>132</v>
      </c>
      <c r="H105" s="58">
        <f>1.176*(29.23/(BaroPress-VaporPressure))*(SQRT((TempF+459.67)/536.67))-0.176</f>
        <v>1.0388760152894978</v>
      </c>
    </row>
    <row r="106" spans="6:8" ht="14.25" customHeight="1">
      <c r="F106" s="57"/>
      <c r="G106" s="20" t="s">
        <v>133</v>
      </c>
      <c r="H106" s="58">
        <f>UncHP*H105</f>
        <v>316.85718466329683</v>
      </c>
    </row>
    <row r="107" spans="2:8" ht="14.25" customHeight="1">
      <c r="B107" s="60"/>
      <c r="F107" s="57"/>
      <c r="G107" s="20"/>
      <c r="H107" s="58"/>
    </row>
    <row r="108" spans="3:8" ht="14.25" customHeight="1">
      <c r="C108" s="61"/>
      <c r="F108" s="57"/>
      <c r="G108" s="20" t="s">
        <v>134</v>
      </c>
      <c r="H108" s="58">
        <f>1.176*(29.92/(BaroPress-VaporPressure))*(SQRT((TempF+459.67)/519.67))-0.176</f>
        <v>1.0877307937415628</v>
      </c>
    </row>
    <row r="109" spans="3:8" ht="14.25" customHeight="1">
      <c r="C109" s="61"/>
      <c r="F109" s="57"/>
      <c r="G109" s="20" t="s">
        <v>135</v>
      </c>
      <c r="H109" s="58">
        <f>UncHP*H108</f>
        <v>331.75789209117664</v>
      </c>
    </row>
    <row r="110" spans="3:8" ht="14.25" customHeight="1">
      <c r="C110" s="62"/>
      <c r="F110" s="57"/>
      <c r="G110" s="20"/>
      <c r="H110" s="58"/>
    </row>
    <row r="111" spans="2:8" ht="14.25" customHeight="1">
      <c r="B111" s="63"/>
      <c r="F111" s="57"/>
      <c r="G111" s="20" t="s">
        <v>136</v>
      </c>
      <c r="H111" s="58">
        <f>1.176*(29.92/(BaroPress-VaporPressure))*(SQRT((TempF+459.67)/527.67))-0.176</f>
        <v>1.078114500955002</v>
      </c>
    </row>
    <row r="112" spans="2:8" ht="14.25" customHeight="1">
      <c r="B112" s="63"/>
      <c r="F112" s="57"/>
      <c r="G112" s="20" t="s">
        <v>137</v>
      </c>
      <c r="H112" s="58">
        <f>UncHP*H111</f>
        <v>328.8249227912756</v>
      </c>
    </row>
    <row r="113" spans="3:8" ht="14.25" customHeight="1">
      <c r="C113" s="64"/>
      <c r="F113" s="57"/>
      <c r="G113" s="64"/>
      <c r="H113" s="58"/>
    </row>
    <row r="114" spans="3:8" ht="14.25" customHeight="1">
      <c r="C114" s="64"/>
      <c r="F114" s="57"/>
      <c r="H114" s="58"/>
    </row>
    <row r="115" spans="6:8" ht="14.25" customHeight="1">
      <c r="F115" s="57"/>
      <c r="H115" s="58"/>
    </row>
    <row r="116" spans="6:8" ht="14.25" customHeight="1">
      <c r="F116" s="57"/>
      <c r="H116" s="58"/>
    </row>
    <row r="117" spans="6:8" ht="14.25" customHeight="1">
      <c r="F117" s="57"/>
      <c r="H117" s="58"/>
    </row>
    <row r="118" spans="6:8" ht="14.25" customHeight="1">
      <c r="F118" s="57"/>
      <c r="H118" s="58"/>
    </row>
    <row r="119" spans="6:8" ht="14.25" customHeight="1">
      <c r="F119" s="65"/>
      <c r="G119" s="66"/>
      <c r="H119" s="67"/>
    </row>
  </sheetData>
  <sheetProtection selectLockedCells="1" selectUnlockedCells="1"/>
  <hyperlinks>
    <hyperlink ref="G1" r:id="rId1" display="http://robrobinette.com/notes.htm"/>
  </hyperlinks>
  <printOptions horizontalCentered="1"/>
  <pageMargins left="0.25" right="0.25" top="0.5" bottom="0.5" header="0.5118055555555555" footer="0.5118055555555555"/>
  <pageSetup fitToHeight="1" fitToWidth="1" horizontalDpi="300" verticalDpi="300" orientation="portrait"/>
  <drawing r:id="rId21"/>
  <legacyDrawing r:id="rId20"/>
  <oleObjects>
    <oleObject progId="Microsoft Equation 3.0" shapeId="133979498" r:id="rId2"/>
    <oleObject progId="Microsoft Equation 3.0" shapeId="133978784" r:id="rId3"/>
    <oleObject progId="Microsoft Equation 3.0" shapeId="133979134" r:id="rId4"/>
    <oleObject progId="Microsoft Equation 3.0" shapeId="133973576" r:id="rId5"/>
    <oleObject progId="Microsoft Equation 3.0" shapeId="133978952" r:id="rId6"/>
    <oleObject progId="Microsoft Equation 3.0" shapeId="133977594" r:id="rId7"/>
    <oleObject progId="Microsoft Equation 3.0" shapeId="133977776" r:id="rId8"/>
    <oleObject progId="Microsoft Equation 3.0" shapeId="133978560" r:id="rId9"/>
    <oleObject progId="Microsoft Equation 3.0" shapeId="133971490" r:id="rId10"/>
    <oleObject progId="Microsoft Equation 3.0" shapeId="133978910" r:id="rId11"/>
    <oleObject progId="Microsoft Equation 3.0" shapeId="133978574" r:id="rId12"/>
    <oleObject progId="Microsoft Equation 3.0" shapeId="133978658" r:id="rId13"/>
    <oleObject progId="Microsoft Equation 3.0" shapeId="133974262" r:id="rId14"/>
    <oleObject progId="Microsoft Equation 3.0" shapeId="133973786" r:id="rId15"/>
    <oleObject progId="Microsoft Equation 3.0" shapeId="133974150" r:id="rId16"/>
    <oleObject progId="Microsoft Equation 3.0" shapeId="133975620" r:id="rId17"/>
    <oleObject progId="Microsoft Equation 3.0" shapeId="133975368" r:id="rId18"/>
    <oleObject progId="Microsoft Equation 3.0" shapeId="133974724" r:id="rId1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 Robinette</cp:lastModifiedBy>
  <dcterms:modified xsi:type="dcterms:W3CDTF">2014-02-23T17:34:47Z</dcterms:modified>
  <cp:category/>
  <cp:version/>
  <cp:contentType/>
  <cp:contentStatus/>
  <cp:revision>13</cp:revision>
</cp:coreProperties>
</file>