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" sheetId="1" r:id="rId1"/>
    <sheet name="Instructions" sheetId="2" r:id="rId2"/>
    <sheet name="Diagrams" sheetId="3" r:id="rId3"/>
    <sheet name="S2000" sheetId="4" r:id="rId4"/>
    <sheet name="NC Miata" sheetId="5" r:id="rId5"/>
    <sheet name="FM Stage II" sheetId="6" r:id="rId6"/>
    <sheet name="Change Log" sheetId="7" r:id="rId7"/>
  </sheets>
  <definedNames>
    <definedName name="_xlnm.Print_Area" localSheetId="0">'Calc'!$A$1:$K$192</definedName>
    <definedName name="ACFFr">'Calc'!$A$48</definedName>
    <definedName name="ACFRr">'Calc'!$A$57</definedName>
    <definedName name="Baro">'Calc'!$A$164</definedName>
    <definedName name="BaroPress">'Calc'!$B$164</definedName>
    <definedName name="BumpFr">'Calc'!$A$74</definedName>
    <definedName name="BumpRr">'Calc'!$A$80</definedName>
    <definedName name="BumpWheelFr">'Calc'!$A$75</definedName>
    <definedName name="BumpWheelRr">'Calc'!$A$81</definedName>
    <definedName name="CarWeight">'Calc'!$A$6</definedName>
    <definedName name="DesiredSF">'Calc'!$A$140</definedName>
    <definedName name="DesiredWheelRate">'Calc'!$A$145</definedName>
    <definedName name="Dist1">'Calc'!$A$135</definedName>
    <definedName name="Dist2">'Calc'!$A$136</definedName>
    <definedName name="DistributionFront">'Calc'!$A$10</definedName>
    <definedName name="DistributionRear">'Calc'!$A$11</definedName>
    <definedName name="Driver">'Calc'!$A$7</definedName>
    <definedName name="FrontWeight">'Calc'!$A$12</definedName>
    <definedName name="FuelWeight">'Calc'!$A$8</definedName>
    <definedName name="HelperSpring">'Calc'!$A$152</definedName>
    <definedName name="Humidity">'Calc'!$A$165</definedName>
    <definedName name="MainSpring">'Calc'!$A$151</definedName>
    <definedName name="MR">'Calc'!$A$137</definedName>
    <definedName name="MRFr">'Calc'!$A$46</definedName>
    <definedName name="MRRr">'Calc'!$A$55</definedName>
    <definedName name="MSA">'Calc'!$A$172</definedName>
    <definedName name="RearWeight">'Calc'!$A$13</definedName>
    <definedName name="RelHumidity">'Calc'!$B$165</definedName>
    <definedName name="SAE_J1349">'Calc'!$A$170</definedName>
    <definedName name="SAFVFr">'Calc'!$A$47</definedName>
    <definedName name="SAFVRr">'Calc'!$A$56</definedName>
    <definedName name="SFFr">'Calc'!$A$51</definedName>
    <definedName name="SFFrHz">'Calc'!$A$52</definedName>
    <definedName name="SFRr">'Calc'!$A$60</definedName>
    <definedName name="SFRrHz">'Calc'!$A$61</definedName>
    <definedName name="SpringRateFr">'Calc'!$A$49</definedName>
    <definedName name="SpringRateRr">'Calc'!$A$58</definedName>
    <definedName name="SprungWeight">'Calc'!$A$43</definedName>
    <definedName name="SprungWeightFr">'Calc'!$A$28</definedName>
    <definedName name="SprungWeightRr">'Calc'!$A$39</definedName>
    <definedName name="STD">'Calc'!$A$174</definedName>
    <definedName name="SwayBarMRFr">'Calc'!$A$67</definedName>
    <definedName name="SwayBarMRRr">'Calc'!$A$70</definedName>
    <definedName name="SwayFr">'Calc'!$A$66</definedName>
    <definedName name="SwayRr">'Calc'!$A$69</definedName>
    <definedName name="SwayWheelFr">'Calc'!$A$68</definedName>
    <definedName name="SwayWheelRr">'Calc'!$A$71</definedName>
    <definedName name="Temp">'Calc'!$A$163</definedName>
    <definedName name="TempF">'Calc'!$B$163</definedName>
    <definedName name="TotalCarWeight">'Calc'!$A$9</definedName>
    <definedName name="TrackFr">'Calc'!$A$15</definedName>
    <definedName name="TrackRr">'Calc'!$A$16</definedName>
    <definedName name="UncHP">'Calc'!$B$166</definedName>
    <definedName name="UnHP">'Calc'!$A$166</definedName>
    <definedName name="UnsprungFr">'Calc'!$B$27</definedName>
    <definedName name="UnsprungRr">'Calc'!$B$38</definedName>
    <definedName name="UnsprungWeight">'Calc'!$A$41</definedName>
    <definedName name="Vapor">'Calc'!$A$168</definedName>
    <definedName name="VaporPressure">'Calc'!$C$168</definedName>
    <definedName name="WheelRateFr">'Calc'!$A$50</definedName>
    <definedName name="WheelRateRr">'Calc'!$A$59</definedName>
    <definedName name="Excel_BuiltIn_Print_Area" localSheetId="0">'Calc'!$A$1:$K$192</definedName>
  </definedNames>
  <calcPr fullCalcOnLoad="1"/>
</workbook>
</file>

<file path=xl/sharedStrings.xml><?xml version="1.0" encoding="utf-8"?>
<sst xmlns="http://schemas.openxmlformats.org/spreadsheetml/2006/main" count="320" uniqueCount="268">
  <si>
    <t>Suspension Tuning Calculations</t>
  </si>
  <si>
    <t>By Rob Robinette V10.2</t>
  </si>
  <si>
    <r>
      <rPr>
        <i/>
        <sz val="10"/>
        <rFont val="Arial"/>
        <family val="2"/>
      </rPr>
      <t xml:space="preserve">Download latest version of this spreadsheet: </t>
    </r>
    <r>
      <rPr>
        <i/>
        <sz val="10"/>
        <color indexed="12"/>
        <rFont val="Arial"/>
        <family val="2"/>
      </rPr>
      <t>Suspension.ods</t>
    </r>
    <r>
      <rPr>
        <i/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Suspension.xls</t>
    </r>
  </si>
  <si>
    <t>AutoMath.xls</t>
  </si>
  <si>
    <r>
      <rPr>
        <b/>
        <i/>
        <sz val="10"/>
        <color indexed="48"/>
        <rFont val="Arial"/>
        <family val="2"/>
      </rPr>
      <t xml:space="preserve">Enter values in blue, </t>
    </r>
    <r>
      <rPr>
        <b/>
        <i/>
        <sz val="10"/>
        <color indexed="8"/>
        <rFont val="Arial"/>
        <family val="2"/>
      </rPr>
      <t>numbers in black are calculated. All Weights in lbs (NC Miata in parenthesis)</t>
    </r>
  </si>
  <si>
    <t>lbs Car Weight (total weight minus the driver and fuel, 2480 lbs for NC Miata)</t>
  </si>
  <si>
    <t>lbs Driver Weight (175 average)</t>
  </si>
  <si>
    <t>lbs Fuel Weight</t>
  </si>
  <si>
    <t xml:space="preserve"> Gallons US Fuel</t>
  </si>
  <si>
    <t>lbs Total Car Weight</t>
  </si>
  <si>
    <t xml:space="preserve"> (NC Miata fuel tank capacity 12.7 US gallons)</t>
  </si>
  <si>
    <t xml:space="preserve"> Front Weight Distribution (52%)</t>
  </si>
  <si>
    <t xml:space="preserve"> Rear Weight Distribution</t>
  </si>
  <si>
    <t>lbs Front Weight</t>
  </si>
  <si>
    <t>lbs Rear Weight</t>
  </si>
  <si>
    <t>in Front Track (measured from tier outside contact patch to outside contact patch, 58.7 for NC Miata)</t>
  </si>
  <si>
    <t>in Rear Track (58.9)</t>
  </si>
  <si>
    <t>Calculate Unsprung Weights</t>
  </si>
  <si>
    <t>Enter weights for one corner in lbs (NC Miata)</t>
  </si>
  <si>
    <t xml:space="preserve"> Front Wheel (17)</t>
  </si>
  <si>
    <t xml:space="preserve"> Front Tire (21)</t>
  </si>
  <si>
    <t xml:space="preserve"> Front Knuckle (25)</t>
  </si>
  <si>
    <t xml:space="preserve"> Front Lower Arm 40% (7)</t>
  </si>
  <si>
    <t xml:space="preserve"> Front Shock &amp; Spring (20)</t>
  </si>
  <si>
    <t xml:space="preserve"> Front Brake Rotor (14.3)</t>
  </si>
  <si>
    <t xml:space="preserve"> Front Wet Brake Caliper (8.3)</t>
  </si>
  <si>
    <t xml:space="preserve"> Total Front Unsprung Weight ( * 2)</t>
  </si>
  <si>
    <t>lbs Front Sprung Weight Per Wheel</t>
  </si>
  <si>
    <t xml:space="preserve"> Rear Wheel (17)</t>
  </si>
  <si>
    <t xml:space="preserve"> Rear Tire (21)</t>
  </si>
  <si>
    <t xml:space="preserve"> Rear Knuckle (23)</t>
  </si>
  <si>
    <t xml:space="preserve"> Half Shaft 50% (14)</t>
  </si>
  <si>
    <t xml:space="preserve"> Rear Lower Arms 50% (4)</t>
  </si>
  <si>
    <t xml:space="preserve"> Rear Shock &amp; Spring (20)</t>
  </si>
  <si>
    <t xml:space="preserve"> Rear Brake Rotor (9.3)</t>
  </si>
  <si>
    <t xml:space="preserve"> Rear Wet Brake Caliper (6.75)</t>
  </si>
  <si>
    <t xml:space="preserve"> Total Rear Unsprung Weight ( * 2)</t>
  </si>
  <si>
    <t>lbs Rear Sprung Weight Per Wheel</t>
  </si>
  <si>
    <t>lbs Total Unsprung Weight (455.3 for NC Miata)</t>
  </si>
  <si>
    <t>lbs Total Sprung Weight = Total Car Weight – Total Unsprung Weight (2250)</t>
  </si>
  <si>
    <t>Front Suspension</t>
  </si>
  <si>
    <r>
      <rPr>
        <sz val="10"/>
        <color indexed="48"/>
        <rFont val="Arial"/>
        <family val="2"/>
      </rPr>
      <t xml:space="preserve"> Motion Ratio (spring to contact patch motion, 0.78 for NC Miata) </t>
    </r>
    <r>
      <rPr>
        <i/>
        <sz val="10"/>
        <color indexed="48"/>
        <rFont val="Arial"/>
        <family val="2"/>
      </rPr>
      <t>See Diagrams sheet for measurement details</t>
    </r>
  </si>
  <si>
    <t>º Angle Between Spring and Lower Control Arm (degrees, 15º for NC Miata)</t>
  </si>
  <si>
    <t xml:space="preserve"> Spring Angle Correction Factor = Cosine(Spring Anglel)</t>
  </si>
  <si>
    <t>lb-in Spring Rate (165lbs for NC Miata)</t>
  </si>
  <si>
    <t>lb-in Wheel Rate = Motion Ratio^2 * Spring Rate * Spring Angle Correction Factor</t>
  </si>
  <si>
    <r>
      <rPr>
        <sz val="10"/>
        <rFont val="Arial"/>
        <family val="2"/>
      </rPr>
      <t>cpm Suspension Frequency (</t>
    </r>
    <r>
      <rPr>
        <b/>
        <sz val="10"/>
        <rFont val="Arial"/>
        <family val="2"/>
      </rPr>
      <t>cycles per minute</t>
    </r>
    <r>
      <rPr>
        <sz val="10"/>
        <rFont val="Arial"/>
        <family val="2"/>
      </rPr>
      <t>) = 187.8 * SquareRoot(Wheel Rate / Sprung Weight)</t>
    </r>
  </si>
  <si>
    <t>Hz Front Suspension Frequency (cycles per second) = Suspension Frequency / 60 (1.282 for NC Miata)</t>
  </si>
  <si>
    <t>Rear Suspension</t>
  </si>
  <si>
    <r>
      <rPr>
        <sz val="10"/>
        <color indexed="48"/>
        <rFont val="Arial"/>
        <family val="2"/>
      </rPr>
      <t xml:space="preserve"> Motion Ratio (spring to contact patch motion, .7 for NC Miata) </t>
    </r>
    <r>
      <rPr>
        <i/>
        <sz val="10"/>
        <color indexed="48"/>
        <rFont val="Arial"/>
        <family val="2"/>
      </rPr>
      <t>See Diagrams sheet for measurement details</t>
    </r>
  </si>
  <si>
    <t>º Angle Between Spring and Lower Control Arm (15º for NC Miata)</t>
  </si>
  <si>
    <t xml:space="preserve"> Spring Angle Correction Factor = Cosine(Spring Angle)</t>
  </si>
  <si>
    <t>lb-in Spring Rate (158)</t>
  </si>
  <si>
    <t>Hz Rear Suspension Frequency (cycles per second) = Suspension Frequency / 60 (1.157 for NC Miata)</t>
  </si>
  <si>
    <t xml:space="preserve"> Rear to Front Suspension Frequency Ratio = Rear Suspension Freq / Front Suspension Freq (.903 for NC Miata)</t>
  </si>
  <si>
    <t>Ratio &gt; 1 means the rear’s frequency is higher than the front &amp; tending toward oversteer</t>
  </si>
  <si>
    <t>Sway Bars</t>
  </si>
  <si>
    <t>lb-in Front Sway Bar Rate (266.5 for NC Miata)</t>
  </si>
  <si>
    <t xml:space="preserve"> Front Sway Bar Motion Ratio (bar arm to wheel motion, 0.604 for NC Miata)</t>
  </si>
  <si>
    <t>Lb-in Front Sway Bar Rate at the Wheel = Sway Bar Rate * Motion Ratio^2 (97.2 for NC Miata)</t>
  </si>
  <si>
    <t>lb-in Rear Sway Bar Rate (55 for NC Miata)</t>
  </si>
  <si>
    <t xml:space="preserve"> Rear Sway Bar Motion Ratio (bar arm to wheel motion, 0.509 for NC Miata)</t>
  </si>
  <si>
    <t>Lb-in Rear Sway Bar Rate at the Wheel = Sway Bar Rate * Motion Ratio^2 (14.2 for NC Miata)</t>
  </si>
  <si>
    <t>Roll Stiffness &amp; Roll Couple</t>
  </si>
  <si>
    <t>lb-in Front Bump Stop Rate* (200 for NC Miata)</t>
  </si>
  <si>
    <t>lb-in Front Bump Stop Wheel Rate = Bump Stop Rate * Motion Ratio^2 (121.7)</t>
  </si>
  <si>
    <t>*Bump stop stiffness only comes into play near max suspension travel.</t>
  </si>
  <si>
    <r>
      <rPr>
        <b/>
        <sz val="10"/>
        <rFont val="Arial"/>
        <family val="2"/>
      </rPr>
      <t xml:space="preserve">Lb-ft/degrees </t>
    </r>
    <r>
      <rPr>
        <b/>
        <sz val="10"/>
        <color indexed="25"/>
        <rFont val="Arial"/>
        <family val="2"/>
      </rPr>
      <t>Front Roll Stiffness</t>
    </r>
    <r>
      <rPr>
        <b/>
        <sz val="10"/>
        <rFont val="Arial"/>
        <family val="2"/>
      </rPr>
      <t xml:space="preserve"> = (12 * Pi * (Track Width in feet)^2 * Wheel Rate) / (180 * 2) + Sway Bar</t>
    </r>
  </si>
  <si>
    <t>Lb-ft/degrees Front Roll Stiffness + Bump Stops = (12 * Pi * (Track Width in feet)^2 * Wheel Rate) / (180 * 2) + Sway Bar + Bump Stop</t>
  </si>
  <si>
    <t>NC Miata Front Roll Stiffness 340.2 &amp; 461.9 + Bump Stops</t>
  </si>
  <si>
    <t>lb-in Rear bump stop rate* (100)</t>
  </si>
  <si>
    <t>lb-in Rear Bump Stop Wheel Rate = Bump Stop Rate * Motion Ratio (59.3)</t>
  </si>
  <si>
    <r>
      <rPr>
        <b/>
        <sz val="10"/>
        <rFont val="Arial"/>
        <family val="2"/>
      </rPr>
      <t xml:space="preserve">lb-ft/degrees </t>
    </r>
    <r>
      <rPr>
        <b/>
        <sz val="10"/>
        <color indexed="25"/>
        <rFont val="Arial"/>
        <family val="2"/>
      </rPr>
      <t>Rear Roll Stiffness</t>
    </r>
    <r>
      <rPr>
        <b/>
        <sz val="10"/>
        <rFont val="Arial"/>
        <family val="2"/>
      </rPr>
      <t xml:space="preserve"> = (12 * Pi * (Track Width in feet)^2 * Wheel Rate) / (180 * 2) + Sway Bar</t>
    </r>
  </si>
  <si>
    <t>lb-ft/degrees Rear Roll Stiffness + Bump Stops = (12 * Pi * (Track Width in feet)^2 * Wheel Rate) / (180 * 2) + Sway Bar + Bump Stop</t>
  </si>
  <si>
    <t>NC Miata  Rear Roll Stiffness 202.9 &amp; 251.9 + Bump Stops</t>
  </si>
  <si>
    <r>
      <rPr>
        <b/>
        <sz val="10"/>
        <rFont val="Arial"/>
        <family val="2"/>
      </rPr>
      <t xml:space="preserve">lb-ft/degrees </t>
    </r>
    <r>
      <rPr>
        <b/>
        <sz val="10"/>
        <color indexed="25"/>
        <rFont val="Arial"/>
        <family val="2"/>
      </rPr>
      <t>Total Roll Stiffness</t>
    </r>
    <r>
      <rPr>
        <b/>
        <sz val="10"/>
        <rFont val="Arial"/>
        <family val="2"/>
      </rPr>
      <t xml:space="preserve"> = Front Roll Stiffness + Rear Roll Stiffness</t>
    </r>
  </si>
  <si>
    <t>lb-ft/degrees Total Roll Stiffness With Bump Stops = Front Roll Stiffness + Rear Roll Stiffness + Bump Stops</t>
  </si>
  <si>
    <t>NC Miata 582.7 &amp; 763.7 + Bump Stops</t>
  </si>
  <si>
    <r>
      <rPr>
        <b/>
        <sz val="12"/>
        <rFont val="Arial"/>
        <family val="2"/>
      </rPr>
      <t xml:space="preserve"> </t>
    </r>
    <r>
      <rPr>
        <b/>
        <sz val="12"/>
        <color indexed="25"/>
        <rFont val="Arial"/>
        <family val="2"/>
      </rPr>
      <t>Front Roll Couple*</t>
    </r>
    <r>
      <rPr>
        <b/>
        <sz val="12"/>
        <rFont val="Arial"/>
        <family val="2"/>
      </rPr>
      <t xml:space="preserve"> = Front Roll Stiffness / Total Roll Stiffness</t>
    </r>
  </si>
  <si>
    <t xml:space="preserve"> Front Roll Couple* With Bump Stops = Front Roll Stiffness / Total Roll Stiffness</t>
  </si>
  <si>
    <t>NC Miata 62.64 &amp; 64.71% with Bump Stops</t>
  </si>
  <si>
    <t>This table uses above values for sway bar rates, motion ratios, spring angle, sprung weight and track width</t>
  </si>
  <si>
    <t>Front</t>
  </si>
  <si>
    <t>Rear</t>
  </si>
  <si>
    <t>Front Roll</t>
  </si>
  <si>
    <t>Rear Roll</t>
  </si>
  <si>
    <t>Total Roll</t>
  </si>
  <si>
    <t>Springs</t>
  </si>
  <si>
    <t>Wheel Rate</t>
  </si>
  <si>
    <t>Frequency</t>
  </si>
  <si>
    <t>Stiffness</t>
  </si>
  <si>
    <t>Couple %</t>
  </si>
  <si>
    <t xml:space="preserve"> NC Miata</t>
  </si>
  <si>
    <t xml:space="preserve"> FM Stage II</t>
  </si>
  <si>
    <t xml:space="preserve"> 1.8Hz</t>
  </si>
  <si>
    <t xml:space="preserve"> 2.0Hz</t>
  </si>
  <si>
    <t>Calculate Front Sway Bar Rate</t>
  </si>
  <si>
    <t>in Front Sway Bar Outside Diameter OD (21mm = 0.8268 for NC Miata)</t>
  </si>
  <si>
    <t>in Front Sway Bar Wall Thickness (OD-ID) / 2 = wall thickness, For Solid Bars use OD / 2 (2.6mm = 0.1024 for NC Miata)</t>
  </si>
  <si>
    <t>in Front Sway Bar Inside Diameter ID (solid = 0)</t>
  </si>
  <si>
    <t>in Front Sway Bar Arm Leverage (distance from bar center to arm hole, 7.0in for NC Miata)</t>
  </si>
  <si>
    <t>in Front Sway Bar Acutual Arm Length (8.25in for NC Miata)</t>
  </si>
  <si>
    <t>in Front Sway Bar Length (34.75in for NC Miata)</t>
  </si>
  <si>
    <t>Lb-in Front Sway Bar Rate at the Wheel = Sway Bar Rate * Motion Ratio (161.0 for NC Miata)</t>
  </si>
  <si>
    <t>See Diagrams sheet for bar measurement explanation</t>
  </si>
  <si>
    <t>Calculate Rear Sway Bar Rate</t>
  </si>
  <si>
    <t>in Rear Sway Bar Outside Diameter OD (11mm = 0.4331, 12mm 0.4724 Sport for NC Miata)</t>
  </si>
  <si>
    <t>in Rear Sway Bar Wall Thickness (OD-ID / 2 = wall thickness, For solid bars use OD / 2 (0.2165 for NC Miata)</t>
  </si>
  <si>
    <t>in Rear Sway Bar Arm Leverage (5.5in for NC Miata)</t>
  </si>
  <si>
    <t>in Rear Sway Bar Acutual Arm Length (8.125in for NC Miata)</t>
  </si>
  <si>
    <t>in Rear Sway Bar Length (26.5in for NC Miata)</t>
  </si>
  <si>
    <t>Lb-in Rear Sway Bar Rate at the Wheel = Sway Bar Rate * Motion Ratio (28 for NC Miata)</t>
  </si>
  <si>
    <t>Calculate Motion Ratio</t>
  </si>
  <si>
    <t xml:space="preserve"> Spring or sway bar to wheel motion, see Diagrams sheet for more info</t>
  </si>
  <si>
    <t xml:space="preserve"> Distance from control arm inner pivot to spring centerline (in) or (mm)</t>
  </si>
  <si>
    <t xml:space="preserve"> Distance from control arm inner pivot to lower ball joint  (in) or (mm)</t>
  </si>
  <si>
    <t xml:space="preserve"> Motion Ratio = Distance 1 / Distance 2 (0.78 for NC Miata)</t>
  </si>
  <si>
    <t>Calculate Wheel Rate From Desired Suspension Frequency</t>
  </si>
  <si>
    <t xml:space="preserve"> Hz Desired Suspension Frequency</t>
  </si>
  <si>
    <t xml:space="preserve"> lbs Sprung Weight</t>
  </si>
  <si>
    <t xml:space="preserve"> lb-in Wheel Rate = (Desired Frequency / 3.13)^2 * Sprung Weight</t>
  </si>
  <si>
    <t>Calculate Spring Rate From Desired Wheel Rate</t>
  </si>
  <si>
    <t xml:space="preserve"> Desired Wheel Rate (lb-in or N/mm)</t>
  </si>
  <si>
    <t xml:space="preserve"> Motion Ratio Front or Rear</t>
  </si>
  <si>
    <t xml:space="preserve"> Spring Angle Correction Factor</t>
  </si>
  <si>
    <t xml:space="preserve"> Spring Rate (lbs-in or N-mm) = Desired Wheel Rate / (Motion Ratio^2 * Spring Angle Correction Factor)</t>
  </si>
  <si>
    <t>Calculate Dual Spring Rates</t>
  </si>
  <si>
    <t xml:space="preserve"> Main Spring Rate (lb-in or N/mm)</t>
  </si>
  <si>
    <t xml:space="preserve"> Helper Spring Rate (lb-in or N/mm)</t>
  </si>
  <si>
    <t xml:space="preserve"> Active Spring Rate Before Helper Spring Bind = (Main Spring*Helper Spring)/(Main Spring+Helper Spring)</t>
  </si>
  <si>
    <t>Spring rate will start with “Active Spring Rate” and progress to Main Spring rate as helper spring binds.</t>
  </si>
  <si>
    <t>Low rate keeper springs are usually fully bound at rest and do not contribute to spring rate</t>
  </si>
  <si>
    <t>Skid Pad Lateral g</t>
  </si>
  <si>
    <t>ft Skid Pad Radius (radius of the car’s path around the skid pad)</t>
  </si>
  <si>
    <t>sec Skid Pad Lap Time</t>
  </si>
  <si>
    <t>g</t>
  </si>
  <si>
    <t>Dyno Correction Factors* (CF)</t>
  </si>
  <si>
    <t>F Temperature</t>
  </si>
  <si>
    <t>inHG Barometric Pressure</t>
  </si>
  <si>
    <t xml:space="preserve"> Relative Humidity</t>
  </si>
  <si>
    <t xml:space="preserve"> Uncorrected Dyno Horsepower</t>
  </si>
  <si>
    <t>inHg Vapor Pressure</t>
  </si>
  <si>
    <t xml:space="preserve"> SAE J1349 Air Correction Factor</t>
  </si>
  <si>
    <t xml:space="preserve"> SAE Corrected Horsepower</t>
  </si>
  <si>
    <t xml:space="preserve"> Motorsports Standard Atmosphere CF</t>
  </si>
  <si>
    <t xml:space="preserve"> MSA corrected Horsepower</t>
  </si>
  <si>
    <t xml:space="preserve"> STD Correction Factor</t>
  </si>
  <si>
    <t xml:space="preserve"> STD Corrected Horsepower</t>
  </si>
  <si>
    <t>Conversions</t>
  </si>
  <si>
    <t>In         =</t>
  </si>
  <si>
    <t>mm</t>
  </si>
  <si>
    <t>mm      =</t>
  </si>
  <si>
    <t>in</t>
  </si>
  <si>
    <t>lbs       =</t>
  </si>
  <si>
    <t>N</t>
  </si>
  <si>
    <t>N         =</t>
  </si>
  <si>
    <t>lbs</t>
  </si>
  <si>
    <t>K</t>
  </si>
  <si>
    <t>K         =</t>
  </si>
  <si>
    <t>lb-ft     =</t>
  </si>
  <si>
    <t>Nm</t>
  </si>
  <si>
    <t>Nm      =</t>
  </si>
  <si>
    <t>lb-ft</t>
  </si>
  <si>
    <t>Kg-mm spring rate</t>
  </si>
  <si>
    <t>Kg-mm =</t>
  </si>
  <si>
    <t>lb-in     =</t>
  </si>
  <si>
    <t>BAR    =</t>
  </si>
  <si>
    <t>PSI</t>
  </si>
  <si>
    <t>PSI     =</t>
  </si>
  <si>
    <t>BAR</t>
  </si>
  <si>
    <t>Instructions</t>
  </si>
  <si>
    <t xml:space="preserve"> d2 is the distance from the center of the lower control arm inner pivot to the center of the tire contact patch</t>
  </si>
  <si>
    <t xml:space="preserve"> For Spring Motion Ratio d1 is distance from lower control arm inner pivot to the spring centerline</t>
  </si>
  <si>
    <t xml:space="preserve"> Spring Motion Ratio =  d1 Spring / d2 Lower Arm Length</t>
  </si>
  <si>
    <t xml:space="preserve"> For Sway Bar Motion Ratio d1 is from the lower control arm inner pivot to the sway bar end link hole on the lower arm</t>
  </si>
  <si>
    <t xml:space="preserve"> Sway Bar Motion Ratio = d1 Sway Bar / d2 Lower Arm Length</t>
  </si>
  <si>
    <t xml:space="preserve"> Spring Angle A is angle between spring and lower control arm (labeled “Shock Angle” in picture above)</t>
  </si>
  <si>
    <t>Sway bar dimensions needed along with bar outside diameter (OD) and inner diameter (ID, or wall thickness) for bar rate equation.</t>
  </si>
  <si>
    <t>Bar Length is distance between the first bends outside the bushings while following bar bends (center of bend to center of bend).</t>
  </si>
  <si>
    <t>Arm Leverage is distance from sway bar pivot to sway bar end link hole, perpindicular to the sway bar pivot.</t>
  </si>
  <si>
    <t>Arm Length is distance from the center of the first bend outside the bushing to the sway bar end link hole while following bar bends.</t>
  </si>
  <si>
    <t>Measurement should follow bends for Bar Length and Arm Length.</t>
  </si>
  <si>
    <t>BarID (bar inside diameter) = 0 for a solid sway bar</t>
  </si>
  <si>
    <t>BarID = Bar OD – 2 * Bar Wall Thickness</t>
  </si>
  <si>
    <t>My Formulas for Calculating Sway Bar Rate</t>
  </si>
  <si>
    <t>Sway Bar Rate =</t>
  </si>
  <si>
    <r>
      <rPr>
        <b/>
        <sz val="10"/>
        <rFont val="Arial"/>
        <family val="2"/>
      </rPr>
      <t>600,000 * (</t>
    </r>
    <r>
      <rPr>
        <b/>
        <sz val="10"/>
        <color indexed="12"/>
        <rFont val="Arial"/>
        <family val="2"/>
      </rPr>
      <t>BarOD</t>
    </r>
    <r>
      <rPr>
        <b/>
        <sz val="10"/>
        <rFont val="Arial"/>
        <family val="2"/>
      </rPr>
      <t xml:space="preserve">^4 – </t>
    </r>
    <r>
      <rPr>
        <b/>
        <sz val="10"/>
        <color indexed="10"/>
        <rFont val="Arial"/>
        <family val="2"/>
      </rPr>
      <t>BarID</t>
    </r>
    <r>
      <rPr>
        <b/>
        <sz val="10"/>
        <rFont val="Arial"/>
        <family val="2"/>
      </rPr>
      <t>^4)</t>
    </r>
  </si>
  <si>
    <r>
      <rPr>
        <b/>
        <sz val="10"/>
        <rFont val="Arial"/>
        <family val="2"/>
      </rPr>
      <t xml:space="preserve">0.3632 * </t>
    </r>
    <r>
      <rPr>
        <b/>
        <sz val="10"/>
        <color indexed="14"/>
        <rFont val="Arial"/>
        <family val="2"/>
      </rPr>
      <t>ArmLeverage</t>
    </r>
    <r>
      <rPr>
        <b/>
        <sz val="10"/>
        <rFont val="Arial"/>
        <family val="2"/>
      </rPr>
      <t xml:space="preserve">^2 * </t>
    </r>
    <r>
      <rPr>
        <b/>
        <sz val="10"/>
        <color indexed="17"/>
        <rFont val="Arial"/>
        <family val="2"/>
      </rPr>
      <t>BarLength</t>
    </r>
    <r>
      <rPr>
        <b/>
        <sz val="10"/>
        <rFont val="Arial"/>
        <family val="2"/>
      </rPr>
      <t xml:space="preserve"> + 0.1722 * </t>
    </r>
    <r>
      <rPr>
        <b/>
        <sz val="10"/>
        <color indexed="18"/>
        <rFont val="Arial"/>
        <family val="2"/>
      </rPr>
      <t>ArmLength</t>
    </r>
    <r>
      <rPr>
        <b/>
        <sz val="10"/>
        <rFont val="Arial"/>
        <family val="2"/>
      </rPr>
      <t>^3</t>
    </r>
  </si>
  <si>
    <t>OR</t>
  </si>
  <si>
    <r>
      <rPr>
        <b/>
        <sz val="10"/>
        <rFont val="Arial"/>
        <family val="2"/>
      </rPr>
      <t>600,000 * (</t>
    </r>
    <r>
      <rPr>
        <b/>
        <sz val="10"/>
        <color indexed="12"/>
        <rFont val="Arial"/>
        <family val="2"/>
      </rPr>
      <t>BarOD</t>
    </r>
    <r>
      <rPr>
        <b/>
        <sz val="10"/>
        <rFont val="Arial"/>
        <family val="2"/>
      </rPr>
      <t xml:space="preserve">^4 – </t>
    </r>
    <r>
      <rPr>
        <b/>
        <sz val="10"/>
        <color indexed="10"/>
        <rFont val="Arial"/>
        <family val="2"/>
      </rPr>
      <t>(BarOD – 2 * WallThickness)</t>
    </r>
    <r>
      <rPr>
        <b/>
        <sz val="10"/>
        <rFont val="Arial"/>
        <family val="2"/>
      </rPr>
      <t>^4)</t>
    </r>
  </si>
  <si>
    <t>600,000psi = 3.6 * π * Steel Elasticity * Steel Sheer</t>
  </si>
  <si>
    <t>0.3632 = Steel Elasticity</t>
  </si>
  <si>
    <t>0.1722 = Steel Sheer</t>
  </si>
  <si>
    <t>Equation assumes the bar and bar arm are made of the same material.</t>
  </si>
  <si>
    <t>NC Miata Sway Bar Dimensions</t>
  </si>
  <si>
    <t xml:space="preserve"> rate* is a relative number and is not the bar rate in in-lb</t>
  </si>
  <si>
    <t>Honda S2000 Suspension Values</t>
  </si>
  <si>
    <t xml:space="preserve"> Weight</t>
  </si>
  <si>
    <t xml:space="preserve"> Fuel Tank Capacity</t>
  </si>
  <si>
    <t>50-50</t>
  </si>
  <si>
    <t xml:space="preserve"> Weight Distribution</t>
  </si>
  <si>
    <t xml:space="preserve"> Track Width Front</t>
  </si>
  <si>
    <t xml:space="preserve"> Track Width Rear</t>
  </si>
  <si>
    <t xml:space="preserve"> Motion Ratio Front</t>
  </si>
  <si>
    <t xml:space="preserve"> Motion Ratio Rear</t>
  </si>
  <si>
    <t>º Angle Between Spring and Lower Control Arm Front and Rear (degrees)</t>
  </si>
  <si>
    <t xml:space="preserve"> Sway Bar Motion Ratio Front</t>
  </si>
  <si>
    <t xml:space="preserve"> Sway Bar Motion Ratio Rear</t>
  </si>
  <si>
    <t>Bump Stop Rates are unknown</t>
  </si>
  <si>
    <t>S2000 Spring and Sway Bar Rates</t>
  </si>
  <si>
    <t>NC Miata Suspension Values</t>
  </si>
  <si>
    <t>52-48</t>
  </si>
  <si>
    <t xml:space="preserve"> Spring Rate Front</t>
  </si>
  <si>
    <t xml:space="preserve"> Spring Rate Rear</t>
  </si>
  <si>
    <t xml:space="preserve"> Sway Bar Rate Front</t>
  </si>
  <si>
    <t xml:space="preserve"> Sway Bar Rate Rear</t>
  </si>
  <si>
    <t xml:space="preserve"> Bump Stop Rate Front</t>
  </si>
  <si>
    <t xml:space="preserve"> Bump Stop Rate Rear</t>
  </si>
  <si>
    <t>Flyin’ Miata Stage II Suspension</t>
  </si>
  <si>
    <t>Front Sway Bar</t>
  </si>
  <si>
    <t>Inch</t>
  </si>
  <si>
    <t xml:space="preserve"> Outside Diameter</t>
  </si>
  <si>
    <t xml:space="preserve"> Wall Thickness</t>
  </si>
  <si>
    <t xml:space="preserve"> Inside Diameter</t>
  </si>
  <si>
    <t xml:space="preserve"> Bar Length</t>
  </si>
  <si>
    <t xml:space="preserve"> Arm Leverage at Stiff Setting</t>
  </si>
  <si>
    <t xml:space="preserve"> Arm Length at Stiff Setting</t>
  </si>
  <si>
    <t xml:space="preserve"> Arm Leverage at Soft Setting</t>
  </si>
  <si>
    <t xml:space="preserve"> Arm Length at Soft Setting</t>
  </si>
  <si>
    <t>Bar Rates (from FM)</t>
  </si>
  <si>
    <t>Soft</t>
  </si>
  <si>
    <t>Soft &amp; Firm*</t>
  </si>
  <si>
    <t>Firm</t>
  </si>
  <si>
    <t>*FM tech support says it is OK to set different settings on each bar end.</t>
  </si>
  <si>
    <t>Rear Sway Bar</t>
  </si>
  <si>
    <t xml:space="preserve"> Arm Leverage at Mid Setting</t>
  </si>
  <si>
    <t xml:space="preserve"> Arm Length at Mid Setting</t>
  </si>
  <si>
    <t>Soft &amp; Mid</t>
  </si>
  <si>
    <t>Mid</t>
  </si>
  <si>
    <t>Mid &amp; Firm</t>
  </si>
  <si>
    <t>FM recommends starting with the front sway bar set to Soft and the rear set to Mid.</t>
  </si>
  <si>
    <t>Front 300 lb/in, 5.4kg-f/mm, 52.6N/mm, ride height 13.5" (OE 165lb-in)</t>
  </si>
  <si>
    <t>Rear 196 lb/in, 3.5kg-f/mm, 34.4N/mm, ride height 13" (OE 158lb-in)</t>
  </si>
  <si>
    <t>Shocks</t>
  </si>
  <si>
    <t>Koni Sport, rebound adjustable, re-valved, softest setting matches Stage II springs</t>
  </si>
  <si>
    <t>OR Tokico adjustable</t>
  </si>
  <si>
    <t>Change Log</t>
  </si>
  <si>
    <t>V9.10.16</t>
  </si>
  <si>
    <t>Corrected swaybar and bumpstop wheel rate formula to square the motion ratio</t>
  </si>
  <si>
    <t>V7.10.16</t>
  </si>
  <si>
    <t>Used my own measurements for the stock NC Miata rear sway bar (standard suspension)</t>
  </si>
  <si>
    <t>V7.9.16</t>
  </si>
  <si>
    <t>Added new NC Miata rear suspension measurment guide</t>
  </si>
  <si>
    <t>V7.5.16</t>
  </si>
  <si>
    <t>Added Honda S2000 and NC Miata Suspension Value tabs</t>
  </si>
  <si>
    <t>V7.4.16</t>
  </si>
  <si>
    <t>Corrected minor typos</t>
  </si>
  <si>
    <t>V7.3.16c</t>
  </si>
  <si>
    <t>Used my own measurements for the stock NC Miata front sway bar</t>
  </si>
  <si>
    <t>V7.3.16b</t>
  </si>
  <si>
    <t>Updated Sway Bar Rate Formula graphic</t>
  </si>
  <si>
    <t>V7.3.16</t>
  </si>
  <si>
    <t>Changed Sway Bar Rate Formula from Puhn to Robinette due to Puhn formula understimating known bar rates</t>
  </si>
  <si>
    <t>Also updated the Stock NC Miata Sway Bar Rates, Roll Stiffness and Front Roll Couple % values</t>
  </si>
  <si>
    <t>V10.1</t>
  </si>
  <si>
    <t>Changed NC Miata motion ratio to 1.0 since shock is mounted to the hub and the hub doesn’t rotate</t>
  </si>
  <si>
    <t>V10.2</t>
  </si>
  <si>
    <t>Corrected NC Miata motion ratio to .7 since motion ratio is between shock spring compression and tire contact patch movement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</si>
</sst>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[$$-409]#,##0.00;[RED]\-[$$-409]#,##0.00"/>
    <numFmt numFmtId="166" formatCode="0.0%"/>
    <numFmt numFmtId="167" formatCode="#,##0.0"/>
    <numFmt numFmtId="168" formatCode="#,##0"/>
    <numFmt numFmtId="169" formatCode="0.0"/>
    <numFmt numFmtId="170" formatCode="0"/>
    <numFmt numFmtId="171" formatCode="0.000"/>
    <numFmt numFmtId="172" formatCode="0.0000000"/>
    <numFmt numFmtId="173" formatCode="#,##0.00"/>
    <numFmt numFmtId="174" formatCode="#,##0.000"/>
    <numFmt numFmtId="175" formatCode="0.00%"/>
    <numFmt numFmtId="176" formatCode="#,##0.0000"/>
    <numFmt numFmtId="177" formatCode="0.0000"/>
    <numFmt numFmtId="178" formatCode="0.00"/>
    <numFmt numFmtId="179" formatCode="0%"/>
    <numFmt numFmtId="180" formatCode="0.00000"/>
    <numFmt numFmtId="181" formatCode="0.000000"/>
  </numFmts>
  <fonts count="30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i/>
      <sz val="10"/>
      <name val="Arial"/>
      <family val="2"/>
    </font>
    <font>
      <b/>
      <sz val="12"/>
      <color indexed="48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b/>
      <i/>
      <sz val="12"/>
      <name val="Calibri"/>
      <family val="1"/>
    </font>
    <font>
      <i/>
      <sz val="12"/>
      <name val="Calibri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 applyProtection="1">
      <alignment/>
      <protection locked="0"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7" fontId="9" fillId="0" borderId="0" xfId="0" applyNumberFormat="1" applyFont="1" applyAlignment="1" applyProtection="1">
      <alignment/>
      <protection locked="0"/>
    </xf>
    <xf numFmtId="166" fontId="10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4" fillId="2" borderId="1" xfId="0" applyFont="1" applyFill="1" applyBorder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1" fontId="9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164" fontId="12" fillId="0" borderId="0" xfId="0" applyFont="1" applyAlignment="1" applyProtection="1">
      <alignment/>
      <protection locked="0"/>
    </xf>
    <xf numFmtId="164" fontId="13" fillId="0" borderId="0" xfId="0" applyFont="1" applyAlignment="1">
      <alignment/>
    </xf>
    <xf numFmtId="173" fontId="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69" fontId="12" fillId="0" borderId="0" xfId="0" applyNumberFormat="1" applyFont="1" applyAlignment="1" applyProtection="1">
      <alignment/>
      <protection locked="0"/>
    </xf>
    <xf numFmtId="166" fontId="13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64" fontId="16" fillId="0" borderId="0" xfId="0" applyFont="1" applyAlignment="1">
      <alignment/>
    </xf>
    <xf numFmtId="175" fontId="4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64" fontId="14" fillId="0" borderId="0" xfId="0" applyFont="1" applyAlignment="1" applyProtection="1">
      <alignment/>
      <protection locked="0"/>
    </xf>
    <xf numFmtId="175" fontId="17" fillId="0" borderId="0" xfId="0" applyNumberFormat="1" applyFont="1" applyAlignment="1">
      <alignment/>
    </xf>
    <xf numFmtId="164" fontId="17" fillId="0" borderId="0" xfId="0" applyFont="1" applyAlignment="1" applyProtection="1">
      <alignment/>
      <protection locked="0"/>
    </xf>
    <xf numFmtId="174" fontId="17" fillId="0" borderId="0" xfId="0" applyNumberFormat="1" applyFont="1" applyAlignment="1">
      <alignment/>
    </xf>
    <xf numFmtId="167" fontId="4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76" fontId="9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3" fontId="9" fillId="0" borderId="0" xfId="0" applyNumberFormat="1" applyFont="1" applyAlignment="1" applyProtection="1">
      <alignment/>
      <protection locked="0"/>
    </xf>
    <xf numFmtId="174" fontId="9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66" fontId="0" fillId="2" borderId="1" xfId="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170" fontId="9" fillId="0" borderId="0" xfId="0" applyNumberFormat="1" applyFont="1" applyAlignment="1" applyProtection="1">
      <alignment/>
      <protection locked="0"/>
    </xf>
    <xf numFmtId="179" fontId="9" fillId="0" borderId="0" xfId="0" applyNumberFormat="1" applyFont="1" applyAlignment="1" applyProtection="1">
      <alignment/>
      <protection locked="0"/>
    </xf>
    <xf numFmtId="180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0" fontId="0" fillId="2" borderId="1" xfId="0" applyNumberFormat="1" applyFont="1" applyFill="1" applyBorder="1" applyAlignment="1">
      <alignment/>
    </xf>
    <xf numFmtId="164" fontId="18" fillId="0" borderId="0" xfId="0" applyFont="1" applyAlignment="1">
      <alignment/>
    </xf>
    <xf numFmtId="164" fontId="4" fillId="0" borderId="0" xfId="0" applyFont="1" applyAlignment="1">
      <alignment horizontal="right"/>
    </xf>
    <xf numFmtId="164" fontId="0" fillId="0" borderId="2" xfId="0" applyBorder="1" applyAlignment="1">
      <alignment/>
    </xf>
    <xf numFmtId="164" fontId="4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0" fillId="0" borderId="0" xfId="0" applyFont="1" applyAlignment="1">
      <alignment horizontal="right"/>
    </xf>
    <xf numFmtId="164" fontId="0" fillId="2" borderId="1" xfId="0" applyFill="1" applyBorder="1" applyAlignment="1">
      <alignment/>
    </xf>
    <xf numFmtId="164" fontId="0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112</xdr:row>
      <xdr:rowOff>9525</xdr:rowOff>
    </xdr:from>
    <xdr:to>
      <xdr:col>10</xdr:col>
      <xdr:colOff>733425</xdr:colOff>
      <xdr:row>122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019800" y="18935700"/>
          <a:ext cx="25527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*Front Roll Couple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Percentage describes lateral load transfer distribution front to rear and subsequently handling balance. It is the effective wheel rate, in roll, of each axle of the vehicle as a ratio of the vehicle's total roll rate. Higher than 50% means the front wheels take more weight during cornering and the handling progresses toward understeer but for most cars around 60% gives balanced handling on the track and around 75% for autocross.</a:t>
          </a:r>
        </a:p>
      </xdr:txBody>
    </xdr:sp>
    <xdr:clientData/>
  </xdr:twoCellAnchor>
  <xdr:twoCellAnchor editAs="absolute">
    <xdr:from>
      <xdr:col>4</xdr:col>
      <xdr:colOff>85725</xdr:colOff>
      <xdr:row>165</xdr:row>
      <xdr:rowOff>19050</xdr:rowOff>
    </xdr:from>
    <xdr:to>
      <xdr:col>7</xdr:col>
      <xdr:colOff>676275</xdr:colOff>
      <xdr:row>172</xdr:row>
      <xdr:rowOff>95250</xdr:rowOff>
    </xdr:to>
    <xdr:sp fLocksText="0">
      <xdr:nvSpPr>
        <xdr:cNvPr id="2" name="Text 23"/>
        <xdr:cNvSpPr txBox="1">
          <a:spLocks noChangeArrowheads="1"/>
        </xdr:cNvSpPr>
      </xdr:nvSpPr>
      <xdr:spPr>
        <a:xfrm>
          <a:off x="3190875" y="27527250"/>
          <a:ext cx="30575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*These correction factors (CF) are used by dyno shops to correct for nonstandard temperature, barometric pressure and humidity. SAE J1349 standard day is 77F, 29.23inHg pressure, 0% Relative Humidity. Motorsports Standard Atmosphere is 60F, 29.92 and 0% humidity. STD standard day is 68F, 29.92 and 0% humidity. Multiply your uncorrected dyno horsepower by the Correction Factor to get your corrected horsepower.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2</xdr:row>
      <xdr:rowOff>66675</xdr:rowOff>
    </xdr:from>
    <xdr:to>
      <xdr:col>7</xdr:col>
      <xdr:colOff>742950</xdr:colOff>
      <xdr:row>62</xdr:row>
      <xdr:rowOff>104775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6200" y="533400"/>
          <a:ext cx="6067425" cy="975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6666FF"/>
              </a:solidFill>
              <a:latin typeface="Calibri"/>
              <a:ea typeface="Calibri"/>
              <a:cs typeface="Calibri"/>
            </a:rPr>
            <a:t>Simply enter the values in blue.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 All the numbers in black are automatically calculated.
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The </a:t>
          </a:r>
          <a:r>
            <a:rPr lang="en-US" cap="none" sz="1200" b="1" i="1" u="none" baseline="0">
              <a:latin typeface="Calibri"/>
              <a:ea typeface="Calibri"/>
              <a:cs typeface="Calibri"/>
            </a:rPr>
            <a:t>Suspension Tuning Spreadsheet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allows you to analyze and design automobile spring and sway bar rates. After entering car and suspension values it calculates: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Front Roll Couple Percentage 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describes lateral load transfer distribution front to rear and subsequently the handling balance. It is the front roll stiffness divided by the total roll stiffness which is a ratio, front to rear, of the vehicle's total roll rate. Higher than 50% means the front wheels take more weight while cornering and the handling progresses toward understeer but for most cars around 55% gives balanced handling on the track while approximately 75% is best for autocross. For powerful cars a higher FRC% can help prevent power-on oversteer so a Honda S2000 will typically need a higher FRC% than a Miata.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Roll Stiffness Front, Rear and Total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(given in pound-feet at the wheel per degree of chassis roll) describes the chassis resistance to roll during cornering. It is determined using track width and suspension 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and sway bar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wheel rates but 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does not consider roll center and center of gravity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.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Suspension Frequency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is the natural oscillation frequency of the suspension. It is determined using only unsprung weight and wheel rate but 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damping and sway bars are not factored into the suspension frequency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. The stiffer the springs the higher (faster) the suspension frequency.  Street cars typically run around 1.3Hz and race cars typically come in around 2Hz. You would typically want a lower suspension frequency for a bumpier race track because large bumps require a lower suspension frequency to comply with the road surface.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Spring Angle Correction Factor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compensates for the leverage applied to shocks that are not perpendicular to the lower arm (at static rest height).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Suspension Wheel Rate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applies the spring rate to the leverage of the suspension motion ratio. The wheel rate is always lower than the spring rate.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Sway Bar Wheel Rate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applies the sway bar rate to the leverage of the sway bar motion ratio. The sway bar wheel rate is always lower than the sway bar rate.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Bump Stop Wheel Rate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applies the bump stop rate to the leverage of the suspension motion ratio. The bump stop wheel rate is always lower than the bump stop rate. The </a:t>
          </a:r>
          <a:r>
            <a:rPr lang="en-US" cap="none" sz="1200" b="0" i="1" u="none" baseline="0">
              <a:latin typeface="Calibri"/>
              <a:ea typeface="Calibri"/>
              <a:cs typeface="Calibri"/>
            </a:rPr>
            <a:t>Suspension Tuning Spreadsheet</a:t>
          </a:r>
          <a:r>
            <a:rPr lang="en-US" cap="none" sz="1200" b="0" i="0" u="none" baseline="0">
              <a:latin typeface="Calibri"/>
              <a:ea typeface="Calibri"/>
              <a:cs typeface="Calibri"/>
            </a:rPr>
            <a:t> assumes the bumpstops are located on the shock shaft.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81</xdr:row>
      <xdr:rowOff>47625</xdr:rowOff>
    </xdr:from>
    <xdr:to>
      <xdr:col>11</xdr:col>
      <xdr:colOff>95250</xdr:colOff>
      <xdr:row>96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620750"/>
          <a:ext cx="8486775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33</xdr:row>
      <xdr:rowOff>161925</xdr:rowOff>
    </xdr:from>
    <xdr:to>
      <xdr:col>9</xdr:col>
      <xdr:colOff>762000</xdr:colOff>
      <xdr:row>54</xdr:row>
      <xdr:rowOff>28575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867400"/>
          <a:ext cx="7562850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0</xdr:row>
      <xdr:rowOff>0</xdr:rowOff>
    </xdr:from>
    <xdr:to>
      <xdr:col>8</xdr:col>
      <xdr:colOff>619125</xdr:colOff>
      <xdr:row>26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6781800" cy="456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20</xdr:row>
      <xdr:rowOff>76200</xdr:rowOff>
    </xdr:from>
    <xdr:to>
      <xdr:col>6</xdr:col>
      <xdr:colOff>95250</xdr:colOff>
      <xdr:row>31</xdr:row>
      <xdr:rowOff>76200</xdr:rowOff>
    </xdr:to>
    <xdr:sp>
      <xdr:nvSpPr>
        <xdr:cNvPr id="1" name="Image 5"/>
        <xdr:cNvSpPr>
          <a:spLocks/>
        </xdr:cNvSpPr>
      </xdr:nvSpPr>
      <xdr:spPr>
        <a:xfrm>
          <a:off x="152400" y="3714750"/>
          <a:ext cx="4572000" cy="19335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S2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44</xdr:row>
      <xdr:rowOff>0</xdr:rowOff>
    </xdr:from>
    <xdr:to>
      <xdr:col>9</xdr:col>
      <xdr:colOff>723900</xdr:colOff>
      <xdr:row>60</xdr:row>
      <xdr:rowOff>38100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334250"/>
          <a:ext cx="7543800" cy="2647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brobinette.com/misc/automath.xl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2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11.57421875" style="1" customWidth="1"/>
    <col min="2" max="2" width="11.8515625" style="1" customWidth="1"/>
    <col min="3" max="4" width="11.57421875" style="1" customWidth="1"/>
    <col min="5" max="5" width="13.00390625" style="1" customWidth="1"/>
    <col min="6" max="6" width="12.421875" style="1" customWidth="1"/>
    <col min="7" max="8" width="11.57421875" style="1" customWidth="1"/>
    <col min="9" max="9" width="10.8515625" style="1" customWidth="1"/>
    <col min="10" max="64" width="11.57421875" style="1" customWidth="1"/>
    <col min="65" max="16384" width="11.57421875" style="0" customWidth="1"/>
  </cols>
  <sheetData>
    <row r="1" spans="1:64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ht="12.75" customHeight="1">
      <c r="A2" s="4"/>
    </row>
    <row r="3" spans="1:9" ht="12.75" customHeight="1">
      <c r="A3" s="5" t="s">
        <v>1</v>
      </c>
      <c r="C3" s="5" t="s">
        <v>2</v>
      </c>
      <c r="I3" s="6" t="s">
        <v>3</v>
      </c>
    </row>
    <row r="4" spans="1:7" ht="12.75" customHeight="1">
      <c r="A4" s="7" t="s">
        <v>4</v>
      </c>
      <c r="G4" s="5"/>
    </row>
    <row r="5" ht="12.75" customHeight="1">
      <c r="A5" s="4"/>
    </row>
    <row r="6" spans="1:2" ht="12.75" customHeight="1">
      <c r="A6" s="8">
        <v>2480</v>
      </c>
      <c r="B6" s="9" t="s">
        <v>5</v>
      </c>
    </row>
    <row r="7" spans="1:2" s="1" customFormat="1" ht="15" customHeight="1">
      <c r="A7" s="8">
        <v>175</v>
      </c>
      <c r="B7" s="9" t="s">
        <v>6</v>
      </c>
    </row>
    <row r="8" spans="1:6" ht="12.75" customHeight="1">
      <c r="A8" s="4">
        <f>D8*6.3</f>
        <v>50.4</v>
      </c>
      <c r="B8" s="1" t="s">
        <v>7</v>
      </c>
      <c r="D8" s="8">
        <v>8</v>
      </c>
      <c r="E8" s="10" t="s">
        <v>8</v>
      </c>
      <c r="F8"/>
    </row>
    <row r="9" spans="1:5" ht="12.75" customHeight="1">
      <c r="A9" s="4">
        <f>SUM(A6:A8)</f>
        <v>2705.4</v>
      </c>
      <c r="B9" s="1" t="s">
        <v>9</v>
      </c>
      <c r="E9" s="1" t="s">
        <v>10</v>
      </c>
    </row>
    <row r="10" spans="1:2" ht="12.75" customHeight="1">
      <c r="A10" s="11">
        <v>0.52</v>
      </c>
      <c r="B10" s="9" t="s">
        <v>11</v>
      </c>
    </row>
    <row r="11" spans="1:2" ht="12.75" customHeight="1">
      <c r="A11" s="12">
        <f>1-DistributionFront</f>
        <v>0.48</v>
      </c>
      <c r="B11" s="13" t="s">
        <v>12</v>
      </c>
    </row>
    <row r="12" spans="1:2" ht="12.75" customHeight="1">
      <c r="A12" s="14">
        <f>TotalCarWeight*DistributionFront-FuelWeight/2</f>
        <v>1381.608</v>
      </c>
      <c r="B12" s="13" t="s">
        <v>13</v>
      </c>
    </row>
    <row r="13" spans="1:2" ht="12.75" customHeight="1">
      <c r="A13" s="14">
        <f>TotalCarWeight*DistributionRear+FuelWeight/2</f>
        <v>1323.792</v>
      </c>
      <c r="B13" s="13" t="s">
        <v>14</v>
      </c>
    </row>
    <row r="14" spans="1:2" ht="12.75" customHeight="1">
      <c r="A14" s="15"/>
      <c r="B14" s="13"/>
    </row>
    <row r="15" spans="1:2" ht="12.75" customHeight="1">
      <c r="A15" s="16">
        <v>58.7</v>
      </c>
      <c r="B15" s="17" t="s">
        <v>15</v>
      </c>
    </row>
    <row r="16" spans="1:2" ht="15" customHeight="1">
      <c r="A16" s="16">
        <v>58.9</v>
      </c>
      <c r="B16" s="17" t="s">
        <v>16</v>
      </c>
    </row>
    <row r="17" spans="1:2" ht="12.75" customHeight="1">
      <c r="A17" s="18"/>
      <c r="B17" s="17"/>
    </row>
    <row r="18" spans="1:64" ht="12.75" customHeight="1">
      <c r="A18" s="19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2" ht="12.75" customHeight="1">
      <c r="A19" s="4"/>
      <c r="B19" s="5" t="s">
        <v>18</v>
      </c>
    </row>
    <row r="20" spans="2:3" ht="12.75" customHeight="1">
      <c r="B20" s="8">
        <v>17</v>
      </c>
      <c r="C20" s="9" t="s">
        <v>19</v>
      </c>
    </row>
    <row r="21" spans="2:3" ht="12.75" customHeight="1">
      <c r="B21" s="8">
        <v>21</v>
      </c>
      <c r="C21" s="9" t="s">
        <v>20</v>
      </c>
    </row>
    <row r="22" spans="2:3" ht="12.75" customHeight="1">
      <c r="B22" s="8">
        <v>25</v>
      </c>
      <c r="C22" s="9" t="s">
        <v>21</v>
      </c>
    </row>
    <row r="23" spans="2:3" ht="12.75" customHeight="1">
      <c r="B23" s="8">
        <v>7</v>
      </c>
      <c r="C23" s="9" t="s">
        <v>22</v>
      </c>
    </row>
    <row r="24" spans="2:3" ht="12.75" customHeight="1">
      <c r="B24" s="8">
        <v>20</v>
      </c>
      <c r="C24" s="9" t="s">
        <v>23</v>
      </c>
    </row>
    <row r="25" spans="2:3" ht="12.75" customHeight="1">
      <c r="B25" s="8">
        <v>14.3</v>
      </c>
      <c r="C25" s="9" t="s">
        <v>24</v>
      </c>
    </row>
    <row r="26" spans="2:3" ht="12.75" customHeight="1">
      <c r="B26" s="8">
        <v>8.3</v>
      </c>
      <c r="C26" s="9" t="s">
        <v>25</v>
      </c>
    </row>
    <row r="27" spans="2:3" ht="12.75" customHeight="1">
      <c r="B27" s="20">
        <f>SUM(B20:B26)*2</f>
        <v>225.2</v>
      </c>
      <c r="C27" s="4" t="s">
        <v>26</v>
      </c>
    </row>
    <row r="28" spans="1:3" ht="12.75" customHeight="1">
      <c r="A28" s="14">
        <f>(FrontWeight-UnsprungFr)/2</f>
        <v>578.204</v>
      </c>
      <c r="B28" s="4" t="s">
        <v>27</v>
      </c>
      <c r="C28" s="4"/>
    </row>
    <row r="29" spans="2:3" ht="12.75" customHeight="1">
      <c r="B29" s="10"/>
      <c r="C29" s="9"/>
    </row>
    <row r="30" spans="2:3" ht="12.75" customHeight="1">
      <c r="B30" s="8">
        <v>17</v>
      </c>
      <c r="C30" s="9" t="s">
        <v>28</v>
      </c>
    </row>
    <row r="31" spans="2:3" ht="12.75" customHeight="1">
      <c r="B31" s="8">
        <v>21</v>
      </c>
      <c r="C31" s="9" t="s">
        <v>29</v>
      </c>
    </row>
    <row r="32" spans="2:3" ht="12.75" customHeight="1">
      <c r="B32" s="8">
        <v>23</v>
      </c>
      <c r="C32" s="9" t="s">
        <v>30</v>
      </c>
    </row>
    <row r="33" spans="2:3" ht="12.75" customHeight="1">
      <c r="B33" s="8">
        <v>14</v>
      </c>
      <c r="C33" s="9" t="s">
        <v>31</v>
      </c>
    </row>
    <row r="34" spans="2:3" ht="12.75" customHeight="1">
      <c r="B34" s="8">
        <v>4</v>
      </c>
      <c r="C34" s="9" t="s">
        <v>32</v>
      </c>
    </row>
    <row r="35" spans="2:3" ht="12.75" customHeight="1">
      <c r="B35" s="8">
        <v>20</v>
      </c>
      <c r="C35" s="9" t="s">
        <v>33</v>
      </c>
    </row>
    <row r="36" spans="2:3" ht="12.75" customHeight="1">
      <c r="B36" s="8">
        <v>9.3</v>
      </c>
      <c r="C36" s="9" t="s">
        <v>34</v>
      </c>
    </row>
    <row r="37" spans="2:3" ht="12.75" customHeight="1">
      <c r="B37" s="8">
        <v>6.75</v>
      </c>
      <c r="C37" s="9" t="s">
        <v>35</v>
      </c>
    </row>
    <row r="38" spans="2:3" ht="12.75" customHeight="1">
      <c r="B38" s="20">
        <f>SUM(B30:B37)*2</f>
        <v>230.1</v>
      </c>
      <c r="C38" s="4" t="s">
        <v>36</v>
      </c>
    </row>
    <row r="39" spans="1:3" ht="12.75" customHeight="1">
      <c r="A39" s="14">
        <f>(RearWeight-UnsprungRr)/2</f>
        <v>546.846</v>
      </c>
      <c r="B39" s="4" t="s">
        <v>37</v>
      </c>
      <c r="C39" s="4"/>
    </row>
    <row r="40" spans="1:3" ht="12.75" customHeight="1">
      <c r="A40" s="15"/>
      <c r="B40" s="4"/>
      <c r="C40" s="4"/>
    </row>
    <row r="41" spans="1:3" ht="12.75" customHeight="1">
      <c r="A41" s="20">
        <f>UnsprungFr+UnsprungRr</f>
        <v>455.3</v>
      </c>
      <c r="B41" s="4" t="s">
        <v>38</v>
      </c>
      <c r="C41" s="4"/>
    </row>
    <row r="42" spans="1:3" ht="12.75" customHeight="1">
      <c r="A42" s="21"/>
      <c r="B42" s="4"/>
      <c r="C42" s="4"/>
    </row>
    <row r="43" spans="1:2" ht="12.75" customHeight="1">
      <c r="A43" s="20">
        <f>TotalCarWeight-UnsprungWeight</f>
        <v>2250.1</v>
      </c>
      <c r="B43" s="4" t="s">
        <v>39</v>
      </c>
    </row>
    <row r="45" spans="1:64" ht="12.75" customHeight="1">
      <c r="A45" s="19" t="s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2" ht="12.75" customHeight="1">
      <c r="A46" s="22">
        <v>0.78</v>
      </c>
      <c r="B46" s="9" t="s">
        <v>41</v>
      </c>
    </row>
    <row r="47" spans="1:2" ht="12.75" customHeight="1">
      <c r="A47" s="8">
        <v>15</v>
      </c>
      <c r="B47" s="9" t="s">
        <v>42</v>
      </c>
    </row>
    <row r="48" spans="1:2" ht="12.75" customHeight="1">
      <c r="A48" s="23">
        <f>COS(RADIANS(SAFVFr))</f>
        <v>0.9659258262890681</v>
      </c>
      <c r="B48" s="1" t="s">
        <v>43</v>
      </c>
    </row>
    <row r="49" spans="1:2" ht="15" customHeight="1">
      <c r="A49" s="24">
        <v>165</v>
      </c>
      <c r="B49" s="25" t="s">
        <v>44</v>
      </c>
    </row>
    <row r="50" spans="1:2" ht="12.75" customHeight="1">
      <c r="A50" s="20">
        <f>MRFr^2*SpringRateFr*ACFFr</f>
        <v>96.9654299978544</v>
      </c>
      <c r="B50" s="1" t="s">
        <v>45</v>
      </c>
    </row>
    <row r="51" spans="1:2" ht="12.75" customHeight="1">
      <c r="A51" s="26">
        <f>187.8*SQRT(WheelRateFr/SprungWeightFr)</f>
        <v>76.9065812356225</v>
      </c>
      <c r="B51" s="1" t="s">
        <v>46</v>
      </c>
    </row>
    <row r="52" spans="1:2" ht="16.5" customHeight="1">
      <c r="A52" s="27">
        <f>SFFr/60</f>
        <v>1.28177635392704</v>
      </c>
      <c r="B52" s="4" t="s">
        <v>47</v>
      </c>
    </row>
    <row r="53" ht="12.75" customHeight="1">
      <c r="A53" s="20"/>
    </row>
    <row r="54" spans="1:64" ht="12.75" customHeight="1">
      <c r="A54" s="19" t="s">
        <v>48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2" ht="12.75" customHeight="1">
      <c r="A55" s="22">
        <v>0.7</v>
      </c>
      <c r="B55" s="9" t="s">
        <v>49</v>
      </c>
    </row>
    <row r="56" spans="1:2" ht="12.75" customHeight="1">
      <c r="A56" s="8">
        <v>15</v>
      </c>
      <c r="B56" s="9" t="s">
        <v>50</v>
      </c>
    </row>
    <row r="57" spans="1:2" ht="12.75" customHeight="1">
      <c r="A57" s="23">
        <f>COS(RADIANS(SAFVRr))</f>
        <v>0.9659258262890681</v>
      </c>
      <c r="B57" s="1" t="s">
        <v>51</v>
      </c>
    </row>
    <row r="58" spans="1:2" ht="15" customHeight="1">
      <c r="A58" s="24">
        <v>158</v>
      </c>
      <c r="B58" s="25" t="s">
        <v>52</v>
      </c>
    </row>
    <row r="59" spans="1:2" ht="12.75" customHeight="1">
      <c r="A59" s="20">
        <f>MRRr^2*SpringRateRr*ACFRr</f>
        <v>74.7819774712997</v>
      </c>
      <c r="B59" s="1" t="s">
        <v>45</v>
      </c>
    </row>
    <row r="60" spans="1:2" ht="12.75" customHeight="1">
      <c r="A60" s="26">
        <f>187.8*SQRT(WheelRateRr/SprungWeightRr)</f>
        <v>69.4482874211048</v>
      </c>
      <c r="B60" s="1" t="s">
        <v>46</v>
      </c>
    </row>
    <row r="61" spans="1:2" ht="16.5" customHeight="1">
      <c r="A61" s="27">
        <f>SFRr/60</f>
        <v>1.15747145701841</v>
      </c>
      <c r="B61" s="4" t="s">
        <v>53</v>
      </c>
    </row>
    <row r="63" spans="1:2" ht="16.5" customHeight="1">
      <c r="A63" s="28">
        <f>SFRrHz/SFFrHz</f>
        <v>0.903021383935046</v>
      </c>
      <c r="B63" s="4" t="s">
        <v>54</v>
      </c>
    </row>
    <row r="64" spans="1:3" ht="14.25" customHeight="1">
      <c r="A64" s="29"/>
      <c r="B64" s="4"/>
      <c r="C64" s="5" t="s">
        <v>55</v>
      </c>
    </row>
    <row r="65" spans="1:64" ht="12.75" customHeight="1">
      <c r="A65" s="19" t="s">
        <v>56</v>
      </c>
      <c r="B65" s="1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2" ht="15" customHeight="1">
      <c r="A66" s="30">
        <v>266.5</v>
      </c>
      <c r="B66" s="31" t="s">
        <v>57</v>
      </c>
    </row>
    <row r="67" spans="1:2" ht="12.75" customHeight="1">
      <c r="A67" s="22">
        <v>0.604</v>
      </c>
      <c r="B67" s="17" t="s">
        <v>58</v>
      </c>
    </row>
    <row r="68" spans="1:2" ht="12.75" customHeight="1">
      <c r="A68" s="20">
        <f>A66*A67^2</f>
        <v>97.223464</v>
      </c>
      <c r="B68" s="13" t="s">
        <v>59</v>
      </c>
    </row>
    <row r="69" spans="1:2" ht="15" customHeight="1">
      <c r="A69" s="30">
        <v>55</v>
      </c>
      <c r="B69" s="31" t="s">
        <v>60</v>
      </c>
    </row>
    <row r="70" spans="1:2" ht="12.75" customHeight="1">
      <c r="A70" s="22">
        <v>0.509</v>
      </c>
      <c r="B70" s="17" t="s">
        <v>61</v>
      </c>
    </row>
    <row r="71" spans="1:2" ht="12.75" customHeight="1">
      <c r="A71" s="20">
        <f>A69*A70^2</f>
        <v>14.249455</v>
      </c>
      <c r="B71" s="13" t="s">
        <v>62</v>
      </c>
    </row>
    <row r="73" spans="1:64" ht="12.75" customHeight="1">
      <c r="A73" s="19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2" ht="15" customHeight="1">
      <c r="A74" s="8">
        <v>200</v>
      </c>
      <c r="B74" s="9" t="s">
        <v>64</v>
      </c>
    </row>
    <row r="75" spans="1:2" ht="12.75" customHeight="1">
      <c r="A75" s="20">
        <f>BumpFr*MRFr^2</f>
        <v>121.68</v>
      </c>
      <c r="B75" s="1" t="s">
        <v>65</v>
      </c>
    </row>
    <row r="76" spans="1:2" ht="12.75" customHeight="1">
      <c r="A76" s="20"/>
      <c r="B76" s="5" t="s">
        <v>66</v>
      </c>
    </row>
    <row r="77" spans="1:2" ht="16.5" customHeight="1">
      <c r="A77" s="32">
        <f>(12*PI()*(TrackFr/12)^2*WheelRateFr)/(180*2)+SwayWheelFr</f>
        <v>340.197157793202</v>
      </c>
      <c r="B77" s="4" t="s">
        <v>67</v>
      </c>
    </row>
    <row r="78" spans="1:2" ht="12.75" customHeight="1">
      <c r="A78" s="20">
        <f>(12*PI()*(TrackFr/12)^2*WheelRateFr)/(180*2)+SwayWheelFr+BumpWheelFr</f>
        <v>461.877157793202</v>
      </c>
      <c r="B78" s="4" t="s">
        <v>68</v>
      </c>
    </row>
    <row r="79" spans="1:3" ht="12.75" customHeight="1">
      <c r="A79" s="20"/>
      <c r="B79" s="4"/>
      <c r="C79" s="1" t="s">
        <v>69</v>
      </c>
    </row>
    <row r="80" spans="1:2" ht="15" customHeight="1">
      <c r="A80" s="8">
        <v>100</v>
      </c>
      <c r="B80" s="9" t="s">
        <v>70</v>
      </c>
    </row>
    <row r="81" spans="1:2" ht="12.75" customHeight="1">
      <c r="A81" s="20">
        <f>BumpRr*MRRr^2</f>
        <v>49</v>
      </c>
      <c r="B81" s="1" t="s">
        <v>71</v>
      </c>
    </row>
    <row r="82" spans="1:2" ht="16.5" customHeight="1">
      <c r="A82" s="32">
        <f>(12*PI()*(TrackRr/12)^2*WheelRateRr)/(180*2)+SwayWheelRr</f>
        <v>202.915463116103</v>
      </c>
      <c r="B82" s="4" t="s">
        <v>72</v>
      </c>
    </row>
    <row r="83" spans="1:2" ht="12.75" customHeight="1">
      <c r="A83" s="20">
        <f>(12*PI()*(TrackRr/12)^2*WheelRateRr)/(180*2)+SwayWheelRr+BumpWheelRr</f>
        <v>251.915463116103</v>
      </c>
      <c r="B83" s="4" t="s">
        <v>73</v>
      </c>
    </row>
    <row r="84" spans="1:3" ht="12.75" customHeight="1">
      <c r="A84" s="20"/>
      <c r="B84" s="4"/>
      <c r="C84" s="1" t="s">
        <v>74</v>
      </c>
    </row>
    <row r="85" spans="1:2" ht="16.5" customHeight="1">
      <c r="A85" s="32">
        <f aca="true" t="shared" si="0" ref="A85:A86">A77+A82</f>
        <v>543.112620909305</v>
      </c>
      <c r="B85" s="4" t="s">
        <v>75</v>
      </c>
    </row>
    <row r="86" spans="1:2" ht="12.75" customHeight="1">
      <c r="A86" s="20">
        <f t="shared" si="0"/>
        <v>713.792620909305</v>
      </c>
      <c r="B86" s="4" t="s">
        <v>76</v>
      </c>
    </row>
    <row r="87" spans="1:3" ht="12.75" customHeight="1">
      <c r="A87" s="20"/>
      <c r="B87" s="4"/>
      <c r="C87" s="1" t="s">
        <v>77</v>
      </c>
    </row>
    <row r="88" spans="1:2" ht="15" customHeight="1">
      <c r="A88" s="33">
        <f aca="true" t="shared" si="1" ref="A88:A89">A77/A85</f>
        <v>0.626384187544063</v>
      </c>
      <c r="B88" s="34" t="s">
        <v>78</v>
      </c>
    </row>
    <row r="89" spans="1:2" ht="12.75" customHeight="1">
      <c r="A89" s="35">
        <f t="shared" si="1"/>
        <v>0.647074716469909</v>
      </c>
      <c r="B89" s="4" t="s">
        <v>79</v>
      </c>
    </row>
    <row r="90" spans="2:3" ht="12.75" customHeight="1">
      <c r="B90" s="5"/>
      <c r="C90" s="1" t="s">
        <v>80</v>
      </c>
    </row>
    <row r="91" ht="12.75" customHeight="1">
      <c r="B91" s="5"/>
    </row>
    <row r="92" spans="1:2" ht="12.75" customHeight="1">
      <c r="A92" s="5" t="s">
        <v>81</v>
      </c>
      <c r="B92" s="5"/>
    </row>
    <row r="93" spans="1:10" s="37" customFormat="1" ht="12.75" customHeight="1">
      <c r="A93" s="36" t="s">
        <v>82</v>
      </c>
      <c r="B93" s="36" t="s">
        <v>83</v>
      </c>
      <c r="C93" s="36" t="s">
        <v>82</v>
      </c>
      <c r="D93" s="36" t="s">
        <v>83</v>
      </c>
      <c r="E93" s="36" t="s">
        <v>82</v>
      </c>
      <c r="F93" s="36" t="s">
        <v>83</v>
      </c>
      <c r="G93" s="36" t="s">
        <v>84</v>
      </c>
      <c r="H93" s="36" t="s">
        <v>85</v>
      </c>
      <c r="I93" s="36" t="s">
        <v>86</v>
      </c>
      <c r="J93" s="36" t="s">
        <v>84</v>
      </c>
    </row>
    <row r="94" spans="1:10" s="37" customFormat="1" ht="14.25" customHeight="1">
      <c r="A94" s="36" t="s">
        <v>87</v>
      </c>
      <c r="B94" s="36" t="s">
        <v>87</v>
      </c>
      <c r="C94" s="36" t="s">
        <v>88</v>
      </c>
      <c r="D94" s="36" t="s">
        <v>88</v>
      </c>
      <c r="E94" s="36" t="s">
        <v>89</v>
      </c>
      <c r="F94" s="36" t="s">
        <v>89</v>
      </c>
      <c r="G94" s="36" t="s">
        <v>90</v>
      </c>
      <c r="H94" s="36" t="s">
        <v>90</v>
      </c>
      <c r="I94" s="36" t="s">
        <v>90</v>
      </c>
      <c r="J94" s="36" t="s">
        <v>91</v>
      </c>
    </row>
    <row r="95" spans="1:11" ht="12.75" customHeight="1">
      <c r="A95" s="8">
        <v>165</v>
      </c>
      <c r="B95" s="8">
        <v>158</v>
      </c>
      <c r="C95" s="38">
        <f aca="true" t="shared" si="2" ref="C95:C108">MRFr^2*A95*ACFFr</f>
        <v>96.9654299978544</v>
      </c>
      <c r="D95" s="38">
        <f aca="true" t="shared" si="3" ref="D95:D108">MRRr^2*B95*ACFRr</f>
        <v>74.7819774712997</v>
      </c>
      <c r="E95" s="39">
        <f aca="true" t="shared" si="4" ref="E95:E108">(187.8*SQRT(C95/SprungWeightFr))/60</f>
        <v>1.28177635392704</v>
      </c>
      <c r="F95" s="39">
        <f aca="true" t="shared" si="5" ref="F95:F108">(187.8*SQRT(D95/SprungWeightRr))/60</f>
        <v>1.15747145701841</v>
      </c>
      <c r="G95" s="20">
        <f aca="true" t="shared" si="6" ref="G95:G108">(12*PI()*(TrackFr/12)^2*C95)/(180*2)+SwayWheelFr</f>
        <v>340.197157793202</v>
      </c>
      <c r="H95" s="20">
        <f aca="true" t="shared" si="7" ref="H95:H108">(12*PI()*(TrackRr/12)^2*D95)/(180*2)+SwayWheelRr</f>
        <v>202.915463116103</v>
      </c>
      <c r="I95" s="20">
        <f aca="true" t="shared" si="8" ref="I95:I108">G95+H95</f>
        <v>543.112620909305</v>
      </c>
      <c r="J95" s="35">
        <f aca="true" t="shared" si="9" ref="J95:J108">G95/(G95+H95)</f>
        <v>0.626384187544063</v>
      </c>
      <c r="K95" s="8" t="s">
        <v>92</v>
      </c>
    </row>
    <row r="96" spans="1:11" ht="13.5" customHeight="1">
      <c r="A96" s="8">
        <v>300</v>
      </c>
      <c r="B96" s="8">
        <v>196</v>
      </c>
      <c r="C96" s="38">
        <f t="shared" si="2"/>
        <v>176.300781814281</v>
      </c>
      <c r="D96" s="38">
        <f t="shared" si="3"/>
        <v>92.7675163568021</v>
      </c>
      <c r="E96" s="39">
        <f t="shared" si="4"/>
        <v>1.7283468830525002</v>
      </c>
      <c r="F96" s="39">
        <f t="shared" si="5"/>
        <v>1.28916878839909</v>
      </c>
      <c r="G96" s="20">
        <f t="shared" si="6"/>
        <v>538.993816351276</v>
      </c>
      <c r="H96" s="20">
        <f t="shared" si="7"/>
        <v>248.290832156685</v>
      </c>
      <c r="I96" s="20">
        <f t="shared" si="8"/>
        <v>787.284648507961</v>
      </c>
      <c r="J96" s="35">
        <f t="shared" si="9"/>
        <v>0.6846238109339</v>
      </c>
      <c r="K96" s="8" t="s">
        <v>93</v>
      </c>
    </row>
    <row r="97" spans="1:11" ht="14.25" customHeight="1">
      <c r="A97" s="40">
        <v>326</v>
      </c>
      <c r="B97" s="40">
        <v>248</v>
      </c>
      <c r="C97" s="38">
        <f t="shared" si="2"/>
        <v>191.580182904852</v>
      </c>
      <c r="D97" s="38">
        <f t="shared" si="3"/>
        <v>117.379306410648</v>
      </c>
      <c r="E97" s="27">
        <f t="shared" si="4"/>
        <v>1.8016859151909799</v>
      </c>
      <c r="F97" s="27">
        <f t="shared" si="5"/>
        <v>1.4501321701121</v>
      </c>
      <c r="G97" s="20">
        <f t="shared" si="6"/>
        <v>577.280580221719</v>
      </c>
      <c r="H97" s="20">
        <f t="shared" si="7"/>
        <v>310.383442422744</v>
      </c>
      <c r="I97" s="20">
        <f t="shared" si="8"/>
        <v>887.664022644463</v>
      </c>
      <c r="J97" s="41">
        <f t="shared" si="9"/>
        <v>0.6503368002928941</v>
      </c>
      <c r="K97" s="40" t="s">
        <v>94</v>
      </c>
    </row>
    <row r="98" spans="1:11" ht="18" customHeight="1">
      <c r="A98" s="42">
        <v>402</v>
      </c>
      <c r="B98" s="42">
        <v>306</v>
      </c>
      <c r="C98" s="38">
        <f t="shared" si="2"/>
        <v>236.243047631136</v>
      </c>
      <c r="D98" s="38">
        <f t="shared" si="3"/>
        <v>144.830918393783</v>
      </c>
      <c r="E98" s="43">
        <f t="shared" si="4"/>
        <v>2.00070616296615</v>
      </c>
      <c r="F98" s="43">
        <f t="shared" si="5"/>
        <v>1.61080311203381</v>
      </c>
      <c r="G98" s="20">
        <f t="shared" si="6"/>
        <v>689.195736150709</v>
      </c>
      <c r="H98" s="20">
        <f t="shared" si="7"/>
        <v>379.640584642579</v>
      </c>
      <c r="I98" s="20">
        <f t="shared" si="8"/>
        <v>1068.83632079329</v>
      </c>
      <c r="J98" s="41">
        <f t="shared" si="9"/>
        <v>0.64480942754564</v>
      </c>
      <c r="K98" s="42" t="s">
        <v>95</v>
      </c>
    </row>
    <row r="99" spans="1:11" ht="12.75" customHeight="1">
      <c r="A99" s="8">
        <v>500</v>
      </c>
      <c r="B99" s="8">
        <v>336</v>
      </c>
      <c r="C99" s="38">
        <f t="shared" si="2"/>
        <v>293.834636357135</v>
      </c>
      <c r="D99" s="38">
        <f t="shared" si="3"/>
        <v>159.030028040232</v>
      </c>
      <c r="E99" s="39">
        <f t="shared" si="4"/>
        <v>2.2312862315106</v>
      </c>
      <c r="F99" s="39">
        <f t="shared" si="5"/>
        <v>1.68791815897524</v>
      </c>
      <c r="G99" s="20">
        <f t="shared" si="6"/>
        <v>833.50738458546</v>
      </c>
      <c r="H99" s="20">
        <f t="shared" si="7"/>
        <v>415.46324441146</v>
      </c>
      <c r="I99" s="20">
        <f t="shared" si="8"/>
        <v>1248.97062899692</v>
      </c>
      <c r="J99" s="35">
        <f t="shared" si="9"/>
        <v>0.667355472766298</v>
      </c>
      <c r="K99" s="8"/>
    </row>
    <row r="100" spans="1:11" ht="12.75" customHeight="1">
      <c r="A100" s="8">
        <v>500</v>
      </c>
      <c r="B100" s="8">
        <v>400</v>
      </c>
      <c r="C100" s="38">
        <f t="shared" si="2"/>
        <v>293.834636357135</v>
      </c>
      <c r="D100" s="38">
        <f t="shared" si="3"/>
        <v>189.321461952657</v>
      </c>
      <c r="E100" s="39">
        <f t="shared" si="4"/>
        <v>2.2312862315106</v>
      </c>
      <c r="F100" s="39">
        <f t="shared" si="5"/>
        <v>1.84166969771299</v>
      </c>
      <c r="G100" s="20">
        <f t="shared" si="6"/>
        <v>833.50738458546</v>
      </c>
      <c r="H100" s="20">
        <f t="shared" si="7"/>
        <v>491.884918585071</v>
      </c>
      <c r="I100" s="20">
        <f t="shared" si="8"/>
        <v>1325.39230317053</v>
      </c>
      <c r="J100" s="35">
        <f t="shared" si="9"/>
        <v>0.6288759807881711</v>
      </c>
      <c r="K100" s="8"/>
    </row>
    <row r="101" spans="1:11" ht="12.75" customHeight="1">
      <c r="A101" s="8">
        <v>500</v>
      </c>
      <c r="B101" s="8">
        <v>500</v>
      </c>
      <c r="C101" s="38">
        <f t="shared" si="2"/>
        <v>293.834636357135</v>
      </c>
      <c r="D101" s="38">
        <f t="shared" si="3"/>
        <v>236.651827440822</v>
      </c>
      <c r="E101" s="39">
        <f t="shared" si="4"/>
        <v>2.2312862315106</v>
      </c>
      <c r="F101" s="39">
        <f t="shared" si="5"/>
        <v>2.05904931809386</v>
      </c>
      <c r="G101" s="20">
        <f t="shared" si="6"/>
        <v>833.50738458546</v>
      </c>
      <c r="H101" s="20">
        <f t="shared" si="7"/>
        <v>611.293784481339</v>
      </c>
      <c r="I101" s="20">
        <f t="shared" si="8"/>
        <v>1444.8011690668</v>
      </c>
      <c r="J101" s="35">
        <f t="shared" si="9"/>
        <v>0.5769011006018391</v>
      </c>
      <c r="K101" s="8"/>
    </row>
    <row r="102" spans="1:11" ht="12.75" customHeight="1">
      <c r="A102" s="8">
        <v>600</v>
      </c>
      <c r="B102" s="8">
        <v>400</v>
      </c>
      <c r="C102" s="38">
        <f t="shared" si="2"/>
        <v>352.601563628561</v>
      </c>
      <c r="D102" s="38">
        <f t="shared" si="3"/>
        <v>189.321461952657</v>
      </c>
      <c r="E102" s="39">
        <f t="shared" si="4"/>
        <v>2.4442516024981</v>
      </c>
      <c r="F102" s="39">
        <f t="shared" si="5"/>
        <v>1.84166969771299</v>
      </c>
      <c r="G102" s="20">
        <f t="shared" si="6"/>
        <v>980.76416870255</v>
      </c>
      <c r="H102" s="20">
        <f t="shared" si="7"/>
        <v>491.884918585071</v>
      </c>
      <c r="I102" s="20">
        <f t="shared" si="8"/>
        <v>1472.64908728762</v>
      </c>
      <c r="J102" s="35">
        <f t="shared" si="9"/>
        <v>0.665986335216462</v>
      </c>
      <c r="K102" s="8"/>
    </row>
    <row r="103" spans="1:11" ht="12.75" customHeight="1">
      <c r="A103" s="8">
        <v>600</v>
      </c>
      <c r="B103" s="8">
        <v>500</v>
      </c>
      <c r="C103" s="38">
        <f t="shared" si="2"/>
        <v>352.601563628561</v>
      </c>
      <c r="D103" s="38">
        <f t="shared" si="3"/>
        <v>236.651827440822</v>
      </c>
      <c r="E103" s="39">
        <f t="shared" si="4"/>
        <v>2.4442516024981</v>
      </c>
      <c r="F103" s="39">
        <f t="shared" si="5"/>
        <v>2.05904931809386</v>
      </c>
      <c r="G103" s="20">
        <f t="shared" si="6"/>
        <v>980.76416870255</v>
      </c>
      <c r="H103" s="20">
        <f t="shared" si="7"/>
        <v>611.293784481339</v>
      </c>
      <c r="I103" s="20">
        <f t="shared" si="8"/>
        <v>1592.05795318389</v>
      </c>
      <c r="J103" s="35">
        <f t="shared" si="9"/>
        <v>0.616035469526195</v>
      </c>
      <c r="K103" s="8"/>
    </row>
    <row r="104" spans="1:11" ht="12.75" customHeight="1">
      <c r="A104" s="8">
        <v>600</v>
      </c>
      <c r="B104" s="8">
        <v>600</v>
      </c>
      <c r="C104" s="38">
        <f t="shared" si="2"/>
        <v>352.601563628561</v>
      </c>
      <c r="D104" s="38">
        <f t="shared" si="3"/>
        <v>283.982192928986</v>
      </c>
      <c r="E104" s="39">
        <f t="shared" si="4"/>
        <v>2.4442516024981</v>
      </c>
      <c r="F104" s="39">
        <f t="shared" si="5"/>
        <v>2.25557551707128</v>
      </c>
      <c r="G104" s="20">
        <f t="shared" si="6"/>
        <v>980.76416870255</v>
      </c>
      <c r="H104" s="20">
        <f t="shared" si="7"/>
        <v>730.702650377607</v>
      </c>
      <c r="I104" s="20">
        <f t="shared" si="8"/>
        <v>1711.46681908016</v>
      </c>
      <c r="J104" s="35">
        <f t="shared" si="9"/>
        <v>0.573054737473479</v>
      </c>
      <c r="K104" s="8"/>
    </row>
    <row r="105" spans="1:11" ht="12.75" customHeight="1">
      <c r="A105" s="8">
        <v>700</v>
      </c>
      <c r="B105" s="8">
        <v>400</v>
      </c>
      <c r="C105" s="38">
        <f t="shared" si="2"/>
        <v>411.368490899988</v>
      </c>
      <c r="D105" s="38">
        <f t="shared" si="3"/>
        <v>189.321461952657</v>
      </c>
      <c r="E105" s="39">
        <f t="shared" si="4"/>
        <v>2.64009347290968</v>
      </c>
      <c r="F105" s="39">
        <f t="shared" si="5"/>
        <v>1.84166969771299</v>
      </c>
      <c r="G105" s="20">
        <f t="shared" si="6"/>
        <v>1128.02095281964</v>
      </c>
      <c r="H105" s="20">
        <f t="shared" si="7"/>
        <v>491.884918585071</v>
      </c>
      <c r="I105" s="20">
        <f t="shared" si="8"/>
        <v>1619.90587140471</v>
      </c>
      <c r="J105" s="35">
        <f t="shared" si="9"/>
        <v>0.696349690887576</v>
      </c>
      <c r="K105" s="8"/>
    </row>
    <row r="106" spans="1:11" ht="12.75" customHeight="1">
      <c r="A106" s="8">
        <v>700</v>
      </c>
      <c r="B106" s="8">
        <v>500</v>
      </c>
      <c r="C106" s="38">
        <f t="shared" si="2"/>
        <v>411.368490899988</v>
      </c>
      <c r="D106" s="38">
        <f t="shared" si="3"/>
        <v>236.651827440822</v>
      </c>
      <c r="E106" s="39">
        <f t="shared" si="4"/>
        <v>2.64009347290968</v>
      </c>
      <c r="F106" s="39">
        <f t="shared" si="5"/>
        <v>2.05904931809386</v>
      </c>
      <c r="G106" s="20">
        <f t="shared" si="6"/>
        <v>1128.02095281964</v>
      </c>
      <c r="H106" s="20">
        <f t="shared" si="7"/>
        <v>611.293784481339</v>
      </c>
      <c r="I106" s="20">
        <f t="shared" si="8"/>
        <v>1739.31473730098</v>
      </c>
      <c r="J106" s="35">
        <f t="shared" si="9"/>
        <v>0.64854331917527</v>
      </c>
      <c r="K106" s="8"/>
    </row>
    <row r="107" spans="1:11" ht="12.75" customHeight="1">
      <c r="A107" s="8">
        <v>700</v>
      </c>
      <c r="B107" s="8">
        <v>600</v>
      </c>
      <c r="C107" s="38">
        <f t="shared" si="2"/>
        <v>411.368490899988</v>
      </c>
      <c r="D107" s="38">
        <f t="shared" si="3"/>
        <v>283.982192928986</v>
      </c>
      <c r="E107" s="39">
        <f t="shared" si="4"/>
        <v>2.64009347290968</v>
      </c>
      <c r="F107" s="39">
        <f t="shared" si="5"/>
        <v>2.25557551707128</v>
      </c>
      <c r="G107" s="20">
        <f t="shared" si="6"/>
        <v>1128.02095281964</v>
      </c>
      <c r="H107" s="20">
        <f t="shared" si="7"/>
        <v>730.702650377607</v>
      </c>
      <c r="I107" s="20">
        <f t="shared" si="8"/>
        <v>1858.72360319725</v>
      </c>
      <c r="J107" s="35">
        <f t="shared" si="9"/>
        <v>0.6068793396066511</v>
      </c>
      <c r="K107" s="8"/>
    </row>
    <row r="108" spans="1:11" ht="12.75" customHeight="1">
      <c r="A108" s="8">
        <v>700</v>
      </c>
      <c r="B108" s="8">
        <v>700</v>
      </c>
      <c r="C108" s="38">
        <f t="shared" si="2"/>
        <v>411.368490899988</v>
      </c>
      <c r="D108" s="38">
        <f t="shared" si="3"/>
        <v>331.31255841715</v>
      </c>
      <c r="E108" s="39">
        <f t="shared" si="4"/>
        <v>2.64009347290968</v>
      </c>
      <c r="F108" s="39">
        <f t="shared" si="5"/>
        <v>2.43630000863603</v>
      </c>
      <c r="G108" s="20">
        <f t="shared" si="6"/>
        <v>1128.02095281964</v>
      </c>
      <c r="H108" s="20">
        <f t="shared" si="7"/>
        <v>850.111516273875</v>
      </c>
      <c r="I108" s="20">
        <f t="shared" si="8"/>
        <v>1978.13246909351</v>
      </c>
      <c r="J108" s="35">
        <f t="shared" si="9"/>
        <v>0.570245405929037</v>
      </c>
      <c r="K108" s="8"/>
    </row>
    <row r="109" spans="1:2" ht="12.75" customHeight="1">
      <c r="A109" s="10"/>
      <c r="B109" s="10"/>
    </row>
    <row r="110" spans="1:64" ht="12.75" customHeight="1">
      <c r="A110" s="44" t="s">
        <v>96</v>
      </c>
      <c r="B110" s="4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2" ht="12.75" customHeight="1">
      <c r="A111" s="46">
        <v>0.8268000000000001</v>
      </c>
      <c r="B111" s="17" t="s">
        <v>97</v>
      </c>
    </row>
    <row r="112" spans="1:2" ht="12.75" customHeight="1">
      <c r="A112" s="46">
        <v>0.1024</v>
      </c>
      <c r="B112" s="17" t="s">
        <v>98</v>
      </c>
    </row>
    <row r="113" spans="1:2" ht="12.75" customHeight="1">
      <c r="A113" s="47">
        <f>A111-2*A112</f>
        <v>0.622</v>
      </c>
      <c r="B113" s="13" t="s">
        <v>99</v>
      </c>
    </row>
    <row r="114" spans="1:2" ht="12.75" customHeight="1">
      <c r="A114" s="48">
        <v>7</v>
      </c>
      <c r="B114" s="17" t="s">
        <v>100</v>
      </c>
    </row>
    <row r="115" spans="1:2" ht="12.75" customHeight="1">
      <c r="A115" s="48">
        <v>8.25</v>
      </c>
      <c r="B115" s="17" t="s">
        <v>101</v>
      </c>
    </row>
    <row r="116" spans="1:2" ht="12.75" customHeight="1">
      <c r="A116" s="48">
        <v>34.75</v>
      </c>
      <c r="B116" s="17" t="s">
        <v>102</v>
      </c>
    </row>
    <row r="117" spans="1:2" ht="12.75" customHeight="1">
      <c r="A117" s="14">
        <f>(600000*(A111^4-A113^4))/(0.3632*A114^2*A116+0.1722*A115^3)</f>
        <v>266.491291624026</v>
      </c>
      <c r="B117" s="13" t="s">
        <v>57</v>
      </c>
    </row>
    <row r="118" spans="1:2" ht="12.75" customHeight="1">
      <c r="A118" s="49">
        <v>0.604</v>
      </c>
      <c r="B118" s="17" t="s">
        <v>58</v>
      </c>
    </row>
    <row r="119" spans="1:2" ht="12.75" customHeight="1">
      <c r="A119" s="50">
        <f>A117*A118</f>
        <v>160.960740140912</v>
      </c>
      <c r="B119" s="13" t="s">
        <v>103</v>
      </c>
    </row>
    <row r="120" spans="1:3" ht="12.75" customHeight="1">
      <c r="A120" s="14"/>
      <c r="B120" s="13"/>
      <c r="C120" s="5" t="s">
        <v>104</v>
      </c>
    </row>
    <row r="121" spans="1:3" ht="12.75" customHeight="1">
      <c r="A121" s="14"/>
      <c r="B121" s="13"/>
      <c r="C121" s="5"/>
    </row>
    <row r="122" spans="1:64" ht="12.75" customHeight="1">
      <c r="A122" s="44" t="s">
        <v>105</v>
      </c>
      <c r="B122" s="5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2" ht="12.75" customHeight="1">
      <c r="A123" s="46">
        <v>0.43310000000000004</v>
      </c>
      <c r="B123" s="17" t="s">
        <v>106</v>
      </c>
    </row>
    <row r="124" spans="1:2" ht="12.75" customHeight="1">
      <c r="A124" s="46">
        <v>0.2165</v>
      </c>
      <c r="B124" s="17" t="s">
        <v>107</v>
      </c>
    </row>
    <row r="125" spans="1:2" ht="12.75" customHeight="1">
      <c r="A125" s="47">
        <f>A123-2*A124</f>
        <v>0.00010000000000004501</v>
      </c>
      <c r="B125" s="13" t="s">
        <v>99</v>
      </c>
    </row>
    <row r="126" spans="1:2" ht="12.75" customHeight="1">
      <c r="A126" s="49">
        <v>5.5</v>
      </c>
      <c r="B126" s="17" t="s">
        <v>108</v>
      </c>
    </row>
    <row r="127" spans="1:2" ht="12.75" customHeight="1">
      <c r="A127" s="49">
        <v>8.125</v>
      </c>
      <c r="B127" s="17" t="s">
        <v>109</v>
      </c>
    </row>
    <row r="128" spans="1:2" ht="12.75" customHeight="1">
      <c r="A128" s="48">
        <v>26.5</v>
      </c>
      <c r="B128" s="17" t="s">
        <v>110</v>
      </c>
    </row>
    <row r="129" spans="1:2" ht="12.75" customHeight="1">
      <c r="A129" s="14">
        <f>(600000*(A123^4-A125^4))/(0.3632*A126^2*A128+0.1722*A127^3)</f>
        <v>55.045574719274</v>
      </c>
      <c r="B129" s="13" t="s">
        <v>60</v>
      </c>
    </row>
    <row r="130" spans="1:2" ht="12.75" customHeight="1">
      <c r="A130" s="49">
        <v>0.509</v>
      </c>
      <c r="B130" s="17" t="s">
        <v>61</v>
      </c>
    </row>
    <row r="131" spans="1:2" ht="12.75" customHeight="1">
      <c r="A131" s="50">
        <f>A129*A130</f>
        <v>28.0181975321105</v>
      </c>
      <c r="B131" s="13" t="s">
        <v>111</v>
      </c>
    </row>
    <row r="132" spans="2:3" ht="12.75" customHeight="1">
      <c r="B132" s="5"/>
      <c r="C132" s="5" t="s">
        <v>104</v>
      </c>
    </row>
    <row r="133" spans="1:64" ht="12.75" customHeight="1">
      <c r="A133" s="19" t="s">
        <v>112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2" ht="12.75" customHeight="1">
      <c r="A134" s="4"/>
      <c r="B134" s="5" t="s">
        <v>113</v>
      </c>
    </row>
    <row r="135" spans="1:2" ht="12.75" customHeight="1">
      <c r="A135" s="8">
        <v>10</v>
      </c>
      <c r="B135" s="9" t="s">
        <v>114</v>
      </c>
    </row>
    <row r="136" spans="1:2" ht="12.75" customHeight="1">
      <c r="A136" s="8">
        <v>12.8</v>
      </c>
      <c r="B136" s="9" t="s">
        <v>115</v>
      </c>
    </row>
    <row r="137" spans="1:2" ht="12.75" customHeight="1">
      <c r="A137" s="52">
        <f>Dist1/Dist2</f>
        <v>0.7812500000000001</v>
      </c>
      <c r="B137" s="1" t="s">
        <v>116</v>
      </c>
    </row>
    <row r="139" spans="1:64" ht="12.75" customHeight="1">
      <c r="A139" s="19" t="s">
        <v>117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2" ht="12.75" customHeight="1">
      <c r="A140" s="53">
        <v>1.8</v>
      </c>
      <c r="B140" s="9" t="s">
        <v>118</v>
      </c>
    </row>
    <row r="141" spans="1:2" ht="12.75" customHeight="1">
      <c r="A141" s="54">
        <v>580</v>
      </c>
      <c r="B141" s="9" t="s">
        <v>119</v>
      </c>
    </row>
    <row r="142" spans="1:2" ht="12.75" customHeight="1">
      <c r="A142" s="14">
        <f>(DesiredSF/3.13)^2*A141</f>
        <v>191.815778460533</v>
      </c>
      <c r="B142" s="1" t="s">
        <v>120</v>
      </c>
    </row>
    <row r="144" spans="1:64" ht="12.75" customHeight="1">
      <c r="A144" s="19" t="s">
        <v>121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2" ht="12.75" customHeight="1">
      <c r="A145" s="8">
        <v>191.8</v>
      </c>
      <c r="B145" s="9" t="s">
        <v>122</v>
      </c>
    </row>
    <row r="146" spans="1:2" ht="12.75" customHeight="1">
      <c r="A146" s="8">
        <v>0.78</v>
      </c>
      <c r="B146" s="9" t="s">
        <v>123</v>
      </c>
    </row>
    <row r="147" spans="1:2" ht="12.75" customHeight="1">
      <c r="A147" s="8">
        <v>0.9659000000000001</v>
      </c>
      <c r="B147" s="9" t="s">
        <v>124</v>
      </c>
    </row>
    <row r="148" spans="1:2" ht="12.75" customHeight="1">
      <c r="A148" s="14">
        <f>DesiredWheelRate/(A146^2*A147)</f>
        <v>326.382775593157</v>
      </c>
      <c r="B148" s="1" t="s">
        <v>125</v>
      </c>
    </row>
    <row r="149" ht="12.75" customHeight="1">
      <c r="A149" s="14"/>
    </row>
    <row r="150" spans="1:64" ht="12.75" customHeight="1">
      <c r="A150" s="44" t="s">
        <v>126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2" ht="12.75" customHeight="1">
      <c r="A151" s="16">
        <v>672</v>
      </c>
      <c r="B151" s="9" t="s">
        <v>127</v>
      </c>
    </row>
    <row r="152" spans="1:2" ht="12.75" customHeight="1">
      <c r="A152" s="16">
        <v>336</v>
      </c>
      <c r="B152" s="9" t="s">
        <v>128</v>
      </c>
    </row>
    <row r="153" spans="1:2" ht="12.75" customHeight="1">
      <c r="A153" s="14">
        <f>(MainSpring*HelperSpring)/(MainSpring+HelperSpring)</f>
        <v>224</v>
      </c>
      <c r="B153" s="1" t="s">
        <v>129</v>
      </c>
    </row>
    <row r="154" spans="1:2" ht="12.75" customHeight="1">
      <c r="A154" s="14"/>
      <c r="B154" s="5" t="s">
        <v>130</v>
      </c>
    </row>
    <row r="155" spans="1:3" ht="12.75" customHeight="1">
      <c r="A155" s="14"/>
      <c r="B155" s="5" t="s">
        <v>131</v>
      </c>
      <c r="C155"/>
    </row>
    <row r="156" ht="12.75" customHeight="1">
      <c r="A156" s="14"/>
    </row>
    <row r="157" spans="1:64" ht="12.75" customHeight="1">
      <c r="A157" s="19" t="s">
        <v>132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2" ht="12.75" customHeight="1">
      <c r="A158" s="8">
        <v>75</v>
      </c>
      <c r="B158" s="9" t="s">
        <v>133</v>
      </c>
    </row>
    <row r="159" spans="1:2" ht="12.75" customHeight="1">
      <c r="A159" s="8">
        <v>10</v>
      </c>
      <c r="B159" s="9" t="s">
        <v>134</v>
      </c>
    </row>
    <row r="160" spans="1:2" ht="12.75" customHeight="1">
      <c r="A160" s="29">
        <f>(1.225*A158)/A159^2</f>
        <v>0.9187500000000001</v>
      </c>
      <c r="B160" s="1" t="s">
        <v>135</v>
      </c>
    </row>
    <row r="162" spans="1:64" ht="12.75" customHeight="1">
      <c r="A162" s="19" t="s">
        <v>136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</row>
    <row r="163" spans="1:2" ht="12.75" customHeight="1">
      <c r="A163" s="8">
        <v>77</v>
      </c>
      <c r="B163" s="9" t="s">
        <v>137</v>
      </c>
    </row>
    <row r="164" spans="1:2" ht="12.75" customHeight="1">
      <c r="A164" s="8">
        <v>29.23</v>
      </c>
      <c r="B164" s="9" t="s">
        <v>138</v>
      </c>
    </row>
    <row r="165" spans="1:2" ht="12.75" customHeight="1">
      <c r="A165" s="55">
        <v>0.6000000000000001</v>
      </c>
      <c r="B165" s="9" t="s">
        <v>139</v>
      </c>
    </row>
    <row r="166" spans="1:2" ht="12.75" customHeight="1">
      <c r="A166" s="8">
        <v>305</v>
      </c>
      <c r="B166" s="9" t="s">
        <v>140</v>
      </c>
    </row>
    <row r="167" ht="12.75" customHeight="1">
      <c r="A167" s="4"/>
    </row>
    <row r="168" spans="1:2" ht="14.25" customHeight="1">
      <c r="A168" s="56">
        <f>6.1078*10^((7.5*((Temp-32)*5/9))/(237.3+((Temp-32)*5/9)))*0.02953*Humidity</f>
        <v>0.561215751703472</v>
      </c>
      <c r="B168" s="1" t="s">
        <v>141</v>
      </c>
    </row>
    <row r="169" ht="14.25" customHeight="1">
      <c r="A169" s="57"/>
    </row>
    <row r="170" spans="1:2" ht="12.75" customHeight="1">
      <c r="A170" s="58">
        <f>1.176*(29.23/(Baro-Vapor))*(SQRT((Temp+459.67)/536.67))-0.176</f>
        <v>1.02302119679325</v>
      </c>
      <c r="B170" s="1" t="s">
        <v>142</v>
      </c>
    </row>
    <row r="171" spans="1:2" ht="12.75" customHeight="1">
      <c r="A171" s="20">
        <f>UnHP*SAE_J1349</f>
        <v>312.021465021941</v>
      </c>
      <c r="B171" s="1" t="s">
        <v>143</v>
      </c>
    </row>
    <row r="172" spans="1:2" ht="12.75" customHeight="1">
      <c r="A172" s="58">
        <f>1.176*(29.92/(Baro-Vapor))*(SQRT((Temp+459.67)/519.67))-0.176</f>
        <v>1.07123839277988</v>
      </c>
      <c r="B172" s="1" t="s">
        <v>144</v>
      </c>
    </row>
    <row r="173" spans="1:2" ht="12.75" customHeight="1">
      <c r="A173" s="20">
        <f>UnHP*MSA</f>
        <v>326.727709797862</v>
      </c>
      <c r="B173" s="1" t="s">
        <v>145</v>
      </c>
    </row>
    <row r="174" spans="1:2" ht="12.75" customHeight="1">
      <c r="A174" s="58">
        <f>1.176*(29.92/(Baro-Vapor))*(SQRT((Temp+459.67)/527.67))-0.176</f>
        <v>1.06174759804811</v>
      </c>
      <c r="B174" s="1" t="s">
        <v>146</v>
      </c>
    </row>
    <row r="175" spans="1:2" ht="12.75" customHeight="1">
      <c r="A175" s="20">
        <f>UnHP*STD</f>
        <v>323.833017404674</v>
      </c>
      <c r="B175" s="1" t="s">
        <v>147</v>
      </c>
    </row>
    <row r="177" spans="1:64" ht="12.75" customHeight="1">
      <c r="A177" s="19" t="s">
        <v>148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</row>
    <row r="178" spans="1:4" ht="12.75" customHeight="1">
      <c r="A178" s="46">
        <v>1</v>
      </c>
      <c r="B178" s="9" t="s">
        <v>149</v>
      </c>
      <c r="C178" s="47">
        <f>A178*25.4</f>
        <v>25.4</v>
      </c>
      <c r="D178" s="1" t="s">
        <v>150</v>
      </c>
    </row>
    <row r="179" spans="1:4" ht="12.75" customHeight="1">
      <c r="A179" s="46">
        <v>1</v>
      </c>
      <c r="B179" s="9" t="s">
        <v>151</v>
      </c>
      <c r="C179" s="47">
        <f>A179*0.03937</f>
        <v>0.03937</v>
      </c>
      <c r="D179" s="1" t="s">
        <v>152</v>
      </c>
    </row>
    <row r="180" spans="1:4" ht="12.75" customHeight="1">
      <c r="A180" s="46">
        <v>1</v>
      </c>
      <c r="B180" s="9" t="s">
        <v>153</v>
      </c>
      <c r="C180" s="47">
        <f>A180*4.4482</f>
        <v>4.4482</v>
      </c>
      <c r="D180" s="1" t="s">
        <v>154</v>
      </c>
    </row>
    <row r="181" spans="1:4" ht="12.75" customHeight="1">
      <c r="A181" s="46">
        <v>1</v>
      </c>
      <c r="B181" s="9" t="s">
        <v>155</v>
      </c>
      <c r="C181" s="47">
        <f>A181*0.2248</f>
        <v>0.2248</v>
      </c>
      <c r="D181" s="1" t="s">
        <v>156</v>
      </c>
    </row>
    <row r="182" spans="1:4" ht="12.75" customHeight="1">
      <c r="A182" s="46">
        <v>1</v>
      </c>
      <c r="B182" s="9" t="s">
        <v>153</v>
      </c>
      <c r="C182" s="47">
        <f>A182*0.4536</f>
        <v>0.4536</v>
      </c>
      <c r="D182" s="1" t="s">
        <v>157</v>
      </c>
    </row>
    <row r="183" spans="1:4" ht="12.75" customHeight="1">
      <c r="A183" s="46">
        <v>1</v>
      </c>
      <c r="B183" s="9" t="s">
        <v>158</v>
      </c>
      <c r="C183" s="47">
        <f>A183*2.205</f>
        <v>2.205</v>
      </c>
      <c r="D183" s="1" t="s">
        <v>156</v>
      </c>
    </row>
    <row r="184" spans="1:4" ht="12.75" customHeight="1">
      <c r="A184" s="46">
        <v>1</v>
      </c>
      <c r="B184" s="9" t="s">
        <v>159</v>
      </c>
      <c r="C184" s="47">
        <f>A184*1.355818</f>
        <v>1.355818</v>
      </c>
      <c r="D184" s="1" t="s">
        <v>160</v>
      </c>
    </row>
    <row r="185" spans="1:4" ht="12.75" customHeight="1">
      <c r="A185" s="46">
        <v>1</v>
      </c>
      <c r="B185" s="9" t="s">
        <v>161</v>
      </c>
      <c r="C185" s="47">
        <f>A185*0.7375621211697</f>
        <v>0.7375621211697</v>
      </c>
      <c r="D185" s="1" t="s">
        <v>162</v>
      </c>
    </row>
    <row r="186" spans="1:4" ht="12.75" customHeight="1">
      <c r="A186" s="46">
        <v>1</v>
      </c>
      <c r="B186" s="9" t="s">
        <v>159</v>
      </c>
      <c r="C186" s="47">
        <f>A186*0.0178579673228346</f>
        <v>0.017857967322834598</v>
      </c>
      <c r="D186" s="1" t="s">
        <v>163</v>
      </c>
    </row>
    <row r="187" spans="1:4" ht="12.75" customHeight="1">
      <c r="A187" s="46">
        <v>1</v>
      </c>
      <c r="B187" s="9" t="s">
        <v>164</v>
      </c>
      <c r="C187" s="47">
        <f>A187/0.0178579673228346</f>
        <v>55.9974145949591</v>
      </c>
      <c r="D187" s="1" t="s">
        <v>162</v>
      </c>
    </row>
    <row r="188" spans="1:4" ht="12.75" customHeight="1">
      <c r="A188" s="46">
        <v>1</v>
      </c>
      <c r="B188" s="9" t="s">
        <v>165</v>
      </c>
      <c r="C188" s="47">
        <f>A188/12</f>
        <v>0.0833333333333333</v>
      </c>
      <c r="D188" s="1" t="s">
        <v>162</v>
      </c>
    </row>
    <row r="189" spans="1:4" ht="12.75" customHeight="1">
      <c r="A189" s="46">
        <v>1</v>
      </c>
      <c r="B189" s="9" t="s">
        <v>159</v>
      </c>
      <c r="C189" s="47">
        <f>A189*12</f>
        <v>12</v>
      </c>
      <c r="D189" s="1" t="s">
        <v>162</v>
      </c>
    </row>
    <row r="190" spans="1:4" ht="12.75" customHeight="1">
      <c r="A190" s="46">
        <v>1</v>
      </c>
      <c r="B190" s="9" t="s">
        <v>166</v>
      </c>
      <c r="C190" s="47">
        <f>A190*14.503774</f>
        <v>14.503774</v>
      </c>
      <c r="D190" s="1" t="s">
        <v>167</v>
      </c>
    </row>
    <row r="191" spans="1:4" ht="12.75" customHeight="1">
      <c r="A191" s="59">
        <v>1</v>
      </c>
      <c r="B191" s="9" t="s">
        <v>168</v>
      </c>
      <c r="C191" s="52">
        <f>A191*0.0689476</f>
        <v>0.0689476</v>
      </c>
      <c r="D191" s="1" t="s">
        <v>169</v>
      </c>
    </row>
    <row r="192" spans="1:64" ht="12.75" customHeight="1">
      <c r="A192" s="60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</row>
  </sheetData>
  <sheetProtection selectLockedCells="1" selectUnlockedCells="1"/>
  <hyperlinks>
    <hyperlink ref="I3" r:id="rId1" display="AutoMath.xls"/>
  </hyperlinks>
  <printOptions/>
  <pageMargins left="0.42430555555555555" right="0.42430555555555555" top="0.6701388888888888" bottom="0.5118055555555556" header="0.4326388888888889" footer="0.2743055555555556"/>
  <pageSetup firstPageNumber="1" useFirstPageNumber="1" horizontalDpi="300" verticalDpi="300" orientation="portrait" scale="70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 customHeight="1"/>
  <cols>
    <col min="1" max="16384" width="11.57421875" style="0" customWidth="1"/>
  </cols>
  <sheetData>
    <row r="1" s="3" customFormat="1" ht="24" customHeight="1">
      <c r="A1" s="2" t="s">
        <v>170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G98"/>
  <sheetViews>
    <sheetView showGridLines="0" workbookViewId="0" topLeftCell="A1">
      <selection activeCell="A34" sqref="A34"/>
    </sheetView>
  </sheetViews>
  <sheetFormatPr defaultColWidth="9.140625" defaultRowHeight="12.75" customHeight="1"/>
  <cols>
    <col min="1" max="16384" width="11.57421875" style="0" customWidth="1"/>
  </cols>
  <sheetData>
    <row r="14" ht="14.25" customHeight="1">
      <c r="A14" s="61"/>
    </row>
    <row r="15" ht="14.25" customHeight="1">
      <c r="A15" s="61"/>
    </row>
    <row r="16" ht="14.25" customHeight="1">
      <c r="A16" s="61"/>
    </row>
    <row r="17" ht="14.25" customHeight="1">
      <c r="A17" s="61"/>
    </row>
    <row r="18" ht="14.25" customHeight="1">
      <c r="A18" s="61"/>
    </row>
    <row r="19" ht="14.25" customHeight="1">
      <c r="A19" s="61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  <row r="25" ht="14.25" customHeight="1">
      <c r="A25" s="61"/>
    </row>
    <row r="26" ht="14.25" customHeight="1">
      <c r="A26" s="61"/>
    </row>
    <row r="28" ht="14.25" customHeight="1">
      <c r="A28" t="s">
        <v>171</v>
      </c>
    </row>
    <row r="29" ht="14.25" customHeight="1">
      <c r="A29" t="s">
        <v>172</v>
      </c>
    </row>
    <row r="30" ht="14.25" customHeight="1">
      <c r="A30" t="s">
        <v>173</v>
      </c>
    </row>
    <row r="31" ht="14.25" customHeight="1">
      <c r="A31" t="s">
        <v>174</v>
      </c>
    </row>
    <row r="32" ht="14.25" customHeight="1">
      <c r="A32" t="s">
        <v>175</v>
      </c>
    </row>
    <row r="33" ht="14.25" customHeight="1">
      <c r="A33" t="s">
        <v>176</v>
      </c>
    </row>
    <row r="34" ht="14.25" customHeight="1"/>
    <row r="57" ht="12.75" customHeight="1">
      <c r="A57" s="61" t="s">
        <v>177</v>
      </c>
    </row>
    <row r="58" ht="14.25" customHeight="1">
      <c r="A58" s="61" t="s">
        <v>178</v>
      </c>
    </row>
    <row r="59" ht="12.75" customHeight="1">
      <c r="A59" s="61" t="s">
        <v>179</v>
      </c>
    </row>
    <row r="60" ht="12.75" customHeight="1">
      <c r="A60" s="61" t="s">
        <v>180</v>
      </c>
    </row>
    <row r="61" ht="12.75" customHeight="1">
      <c r="A61" s="61" t="s">
        <v>181</v>
      </c>
    </row>
    <row r="62" ht="12.75" customHeight="1">
      <c r="A62" s="61" t="s">
        <v>182</v>
      </c>
    </row>
    <row r="63" ht="12.75" customHeight="1">
      <c r="A63" s="61" t="s">
        <v>183</v>
      </c>
    </row>
    <row r="64" ht="12.75" customHeight="1">
      <c r="A64" s="61"/>
    </row>
    <row r="65" ht="12.75" customHeight="1">
      <c r="A65" s="61"/>
    </row>
    <row r="66" ht="15" customHeight="1">
      <c r="A66" s="34" t="s">
        <v>184</v>
      </c>
    </row>
    <row r="67" ht="12.75" customHeight="1">
      <c r="A67" s="61"/>
    </row>
    <row r="68" spans="1:5" ht="12.75" customHeight="1">
      <c r="A68" s="61"/>
      <c r="B68" s="62" t="s">
        <v>185</v>
      </c>
      <c r="E68" s="36" t="s">
        <v>186</v>
      </c>
    </row>
    <row r="69" spans="1:7" ht="12.75" customHeight="1">
      <c r="A69" s="61"/>
      <c r="C69" s="63"/>
      <c r="D69" s="63"/>
      <c r="E69" s="64" t="s">
        <v>187</v>
      </c>
      <c r="F69" s="63"/>
      <c r="G69" s="63"/>
    </row>
    <row r="70" spans="1:7" ht="12.75" customHeight="1">
      <c r="A70" s="61"/>
      <c r="C70" s="65"/>
      <c r="D70" s="65"/>
      <c r="E70" s="66"/>
      <c r="F70" s="65"/>
      <c r="G70" s="65"/>
    </row>
    <row r="71" spans="1:7" ht="12.75" customHeight="1">
      <c r="A71" s="61"/>
      <c r="C71" s="65"/>
      <c r="D71" s="65"/>
      <c r="E71" s="66" t="s">
        <v>188</v>
      </c>
      <c r="F71" s="65"/>
      <c r="G71" s="65"/>
    </row>
    <row r="72" spans="1:7" ht="12.75" customHeight="1">
      <c r="A72" s="61"/>
      <c r="C72" s="65"/>
      <c r="D72" s="65"/>
      <c r="E72" s="66"/>
      <c r="F72" s="65"/>
      <c r="G72" s="65"/>
    </row>
    <row r="73" spans="1:5" ht="12.75" customHeight="1">
      <c r="A73" s="61"/>
      <c r="B73" s="62" t="s">
        <v>185</v>
      </c>
      <c r="E73" s="36" t="s">
        <v>189</v>
      </c>
    </row>
    <row r="74" spans="1:7" ht="12.75" customHeight="1">
      <c r="A74" s="61"/>
      <c r="C74" s="63"/>
      <c r="D74" s="63"/>
      <c r="E74" s="64" t="s">
        <v>187</v>
      </c>
      <c r="F74" s="63"/>
      <c r="G74" s="63"/>
    </row>
    <row r="75" spans="1:7" ht="12.75" customHeight="1">
      <c r="A75" s="61"/>
      <c r="C75" s="65"/>
      <c r="D75" s="65"/>
      <c r="E75" s="66"/>
      <c r="F75" s="65"/>
      <c r="G75" s="65"/>
    </row>
    <row r="76" spans="1:7" ht="12.75" customHeight="1">
      <c r="A76" s="61" t="s">
        <v>190</v>
      </c>
      <c r="C76" s="65"/>
      <c r="D76" s="65"/>
      <c r="E76" s="66"/>
      <c r="F76" s="65"/>
      <c r="G76" s="65"/>
    </row>
    <row r="77" spans="1:7" ht="12.75" customHeight="1">
      <c r="A77" s="61" t="s">
        <v>191</v>
      </c>
      <c r="C77" s="65"/>
      <c r="D77" s="65"/>
      <c r="E77" s="66"/>
      <c r="F77" s="65"/>
      <c r="G77" s="65"/>
    </row>
    <row r="78" spans="1:7" ht="12.75" customHeight="1">
      <c r="A78" s="61" t="s">
        <v>192</v>
      </c>
      <c r="C78" s="65"/>
      <c r="D78" s="65"/>
      <c r="E78" s="66"/>
      <c r="F78" s="65"/>
      <c r="G78" s="65"/>
    </row>
    <row r="79" ht="12.75" customHeight="1">
      <c r="A79" s="61" t="s">
        <v>193</v>
      </c>
    </row>
    <row r="80" ht="12.75" customHeight="1">
      <c r="A80" s="61"/>
    </row>
    <row r="81" ht="15" customHeight="1">
      <c r="A81" s="34" t="s">
        <v>194</v>
      </c>
    </row>
    <row r="98" ht="12.75" customHeight="1">
      <c r="A98" s="61" t="s">
        <v>195</v>
      </c>
    </row>
  </sheetData>
  <sheetProtection selectLockedCells="1" selectUnlockedCells="1"/>
  <printOptions/>
  <pageMargins left="0.42430555555555555" right="0.42430555555555555" top="0.6701388888888888" bottom="0.5118055555555556" header="0.4326388888888889" footer="0.2743055555555556"/>
  <pageSetup horizontalDpi="300" verticalDpi="300" orientation="portrait" scale="70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 customHeight="1"/>
  <cols>
    <col min="1" max="16384" width="11.57421875" style="0" customWidth="1"/>
  </cols>
  <sheetData>
    <row r="1" s="67" customFormat="1" ht="24" customHeight="1">
      <c r="A1" s="67" t="s">
        <v>196</v>
      </c>
    </row>
    <row r="2" ht="14.25" customHeight="1"/>
    <row r="3" ht="14.25" customHeight="1"/>
    <row r="4" spans="1:2" ht="14.25" customHeight="1">
      <c r="A4">
        <v>2850</v>
      </c>
      <c r="B4" t="s">
        <v>197</v>
      </c>
    </row>
    <row r="5" spans="1:2" ht="14.25" customHeight="1">
      <c r="A5">
        <v>13.2</v>
      </c>
      <c r="B5" t="s">
        <v>198</v>
      </c>
    </row>
    <row r="6" spans="1:2" ht="14.25" customHeight="1">
      <c r="A6" s="68" t="s">
        <v>199</v>
      </c>
      <c r="B6" t="s">
        <v>200</v>
      </c>
    </row>
    <row r="7" spans="1:2" ht="14.25" customHeight="1">
      <c r="A7">
        <v>57.9</v>
      </c>
      <c r="B7" t="s">
        <v>201</v>
      </c>
    </row>
    <row r="8" spans="1:2" ht="14.25" customHeight="1">
      <c r="A8">
        <v>59.4</v>
      </c>
      <c r="B8" t="s">
        <v>202</v>
      </c>
    </row>
    <row r="10" spans="1:2" ht="14.25" customHeight="1">
      <c r="A10">
        <v>0.7</v>
      </c>
      <c r="B10" t="s">
        <v>203</v>
      </c>
    </row>
    <row r="11" spans="1:2" ht="12.75" customHeight="1">
      <c r="A11">
        <v>0.67</v>
      </c>
      <c r="B11" t="s">
        <v>204</v>
      </c>
    </row>
    <row r="12" spans="1:2" ht="14.25" customHeight="1">
      <c r="A12">
        <v>20</v>
      </c>
      <c r="B12" s="1" t="s">
        <v>205</v>
      </c>
    </row>
    <row r="14" spans="1:2" ht="12.75" customHeight="1">
      <c r="A14">
        <v>0.492</v>
      </c>
      <c r="B14" t="s">
        <v>206</v>
      </c>
    </row>
    <row r="15" spans="1:2" ht="12.75" customHeight="1">
      <c r="A15">
        <v>0.343</v>
      </c>
      <c r="B15" t="s">
        <v>207</v>
      </c>
    </row>
    <row r="16" ht="14.25" customHeight="1"/>
    <row r="17" ht="14.25" customHeight="1">
      <c r="B17" t="s">
        <v>208</v>
      </c>
    </row>
    <row r="20" ht="16.5" customHeight="1">
      <c r="B20" s="34" t="s">
        <v>209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2" sqref="A12"/>
    </sheetView>
  </sheetViews>
  <sheetFormatPr defaultColWidth="9.140625" defaultRowHeight="12.75" customHeight="1"/>
  <cols>
    <col min="1" max="16384" width="11.57421875" style="0" customWidth="1"/>
  </cols>
  <sheetData>
    <row r="1" s="67" customFormat="1" ht="24" customHeight="1">
      <c r="A1" s="67" t="s">
        <v>210</v>
      </c>
    </row>
    <row r="2" ht="14.25" customHeight="1"/>
    <row r="3" ht="14.25" customHeight="1"/>
    <row r="4" spans="1:2" ht="14.25" customHeight="1">
      <c r="A4">
        <v>2480</v>
      </c>
      <c r="B4" t="s">
        <v>197</v>
      </c>
    </row>
    <row r="5" spans="1:2" ht="14.25" customHeight="1">
      <c r="A5">
        <v>12.7</v>
      </c>
      <c r="B5" t="s">
        <v>198</v>
      </c>
    </row>
    <row r="6" spans="1:2" ht="14.25" customHeight="1">
      <c r="A6" s="68" t="s">
        <v>211</v>
      </c>
      <c r="B6" t="s">
        <v>200</v>
      </c>
    </row>
    <row r="7" spans="1:2" ht="14.25" customHeight="1">
      <c r="A7">
        <v>58.7</v>
      </c>
      <c r="B7" t="s">
        <v>201</v>
      </c>
    </row>
    <row r="8" spans="1:2" ht="14.25" customHeight="1">
      <c r="A8">
        <v>58.9</v>
      </c>
      <c r="B8" t="s">
        <v>202</v>
      </c>
    </row>
    <row r="10" spans="1:2" ht="14.25" customHeight="1">
      <c r="A10">
        <v>0.78</v>
      </c>
      <c r="B10" t="s">
        <v>203</v>
      </c>
    </row>
    <row r="11" spans="1:2" ht="12.75" customHeight="1">
      <c r="A11">
        <v>0.7</v>
      </c>
      <c r="B11" t="s">
        <v>204</v>
      </c>
    </row>
    <row r="12" spans="1:2" ht="14.25" customHeight="1">
      <c r="A12">
        <v>15</v>
      </c>
      <c r="B12" s="1" t="s">
        <v>205</v>
      </c>
    </row>
    <row r="14" spans="1:2" ht="12.75" customHeight="1">
      <c r="A14">
        <v>0.604</v>
      </c>
      <c r="B14" t="s">
        <v>206</v>
      </c>
    </row>
    <row r="15" spans="1:2" ht="12.75" customHeight="1">
      <c r="A15">
        <v>0.509</v>
      </c>
      <c r="B15" t="s">
        <v>207</v>
      </c>
    </row>
    <row r="17" spans="1:2" ht="14.25" customHeight="1">
      <c r="A17">
        <v>165</v>
      </c>
      <c r="B17" s="1" t="s">
        <v>212</v>
      </c>
    </row>
    <row r="18" spans="1:2" ht="14.25" customHeight="1">
      <c r="A18">
        <v>158</v>
      </c>
      <c r="B18" t="s">
        <v>213</v>
      </c>
    </row>
    <row r="19" spans="1:2" ht="14.25" customHeight="1">
      <c r="A19">
        <v>266.5</v>
      </c>
      <c r="B19" t="s">
        <v>214</v>
      </c>
    </row>
    <row r="20" spans="1:2" ht="14.25" customHeight="1">
      <c r="A20">
        <v>55</v>
      </c>
      <c r="B20" t="s">
        <v>215</v>
      </c>
    </row>
    <row r="22" spans="1:2" ht="14.25" customHeight="1">
      <c r="A22">
        <v>200</v>
      </c>
      <c r="B22" t="s">
        <v>216</v>
      </c>
    </row>
    <row r="23" spans="1:2" ht="14.25" customHeight="1">
      <c r="A23">
        <v>100</v>
      </c>
      <c r="B23" t="s">
        <v>217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43"/>
  <sheetViews>
    <sheetView showGridLines="0" workbookViewId="0" topLeftCell="A30">
      <selection activeCell="A61" sqref="A61"/>
    </sheetView>
  </sheetViews>
  <sheetFormatPr defaultColWidth="9.140625" defaultRowHeight="12.75" customHeight="1"/>
  <cols>
    <col min="1" max="16384" width="11.57421875" style="0" customWidth="1"/>
  </cols>
  <sheetData>
    <row r="1" s="69" customFormat="1" ht="21.75" customHeight="1">
      <c r="A1" s="67" t="s">
        <v>218</v>
      </c>
    </row>
    <row r="3" ht="12.75" customHeight="1">
      <c r="A3" s="4" t="s">
        <v>219</v>
      </c>
    </row>
    <row r="4" spans="1:2" ht="12.75" customHeight="1">
      <c r="A4" s="37" t="s">
        <v>220</v>
      </c>
      <c r="B4" s="37" t="s">
        <v>150</v>
      </c>
    </row>
    <row r="5" spans="1:3" ht="12.75" customHeight="1">
      <c r="A5">
        <v>1</v>
      </c>
      <c r="B5">
        <v>25.4</v>
      </c>
      <c r="C5" t="s">
        <v>221</v>
      </c>
    </row>
    <row r="6" spans="1:3" ht="12.75" customHeight="1">
      <c r="A6">
        <v>0.156</v>
      </c>
      <c r="B6">
        <v>3.96</v>
      </c>
      <c r="C6" t="s">
        <v>222</v>
      </c>
    </row>
    <row r="7" spans="1:3" ht="12.75" customHeight="1">
      <c r="A7">
        <v>0.6880000000000001</v>
      </c>
      <c r="B7">
        <v>17.48</v>
      </c>
      <c r="C7" t="s">
        <v>223</v>
      </c>
    </row>
    <row r="8" spans="1:3" ht="12.75" customHeight="1">
      <c r="A8">
        <v>33.5</v>
      </c>
      <c r="B8">
        <f aca="true" t="shared" si="0" ref="B8:B12">A8*2.54</f>
        <v>85.09</v>
      </c>
      <c r="C8" t="s">
        <v>224</v>
      </c>
    </row>
    <row r="9" spans="1:3" ht="12.75" customHeight="1">
      <c r="A9">
        <v>7.5</v>
      </c>
      <c r="B9">
        <f t="shared" si="0"/>
        <v>19.05</v>
      </c>
      <c r="C9" t="s">
        <v>225</v>
      </c>
    </row>
    <row r="10" spans="1:3" ht="12.75" customHeight="1">
      <c r="A10">
        <v>8.25</v>
      </c>
      <c r="B10">
        <f t="shared" si="0"/>
        <v>20.955000000000002</v>
      </c>
      <c r="C10" t="s">
        <v>226</v>
      </c>
    </row>
    <row r="11" spans="1:3" ht="12.75" customHeight="1">
      <c r="A11">
        <v>8.25</v>
      </c>
      <c r="B11">
        <f t="shared" si="0"/>
        <v>20.955000000000002</v>
      </c>
      <c r="C11" t="s">
        <v>227</v>
      </c>
    </row>
    <row r="12" spans="1:3" ht="12.75" customHeight="1">
      <c r="A12">
        <v>9</v>
      </c>
      <c r="B12">
        <f t="shared" si="0"/>
        <v>22.86</v>
      </c>
      <c r="C12" t="s">
        <v>228</v>
      </c>
    </row>
    <row r="14" ht="12.75" customHeight="1">
      <c r="A14" s="4" t="s">
        <v>229</v>
      </c>
    </row>
    <row r="15" spans="1:3" ht="14.25" customHeight="1">
      <c r="A15" s="36" t="s">
        <v>230</v>
      </c>
      <c r="B15" s="37" t="s">
        <v>231</v>
      </c>
      <c r="C15" s="37" t="s">
        <v>232</v>
      </c>
    </row>
    <row r="16" spans="1:64" ht="14.25" customHeight="1">
      <c r="A16" s="36">
        <v>498</v>
      </c>
      <c r="B16" s="37">
        <v>560</v>
      </c>
      <c r="C16" s="37">
        <v>622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ht="12.75" customHeight="1">
      <c r="A17" t="s">
        <v>233</v>
      </c>
    </row>
    <row r="19" ht="12.75" customHeight="1">
      <c r="A19" s="4" t="s">
        <v>234</v>
      </c>
    </row>
    <row r="20" spans="1:2" ht="12.75" customHeight="1">
      <c r="A20" s="37" t="s">
        <v>220</v>
      </c>
      <c r="B20" s="37" t="s">
        <v>150</v>
      </c>
    </row>
    <row r="21" spans="1:3" ht="12.75" customHeight="1">
      <c r="A21">
        <v>0.75</v>
      </c>
      <c r="B21">
        <v>19.05</v>
      </c>
      <c r="C21" t="s">
        <v>221</v>
      </c>
    </row>
    <row r="22" spans="1:3" ht="12.75" customHeight="1">
      <c r="A22">
        <v>0.12</v>
      </c>
      <c r="B22">
        <v>3.05</v>
      </c>
      <c r="C22" t="s">
        <v>222</v>
      </c>
    </row>
    <row r="23" spans="1:3" ht="12.75" customHeight="1">
      <c r="A23">
        <v>0.51</v>
      </c>
      <c r="B23">
        <v>12.95</v>
      </c>
      <c r="C23" t="s">
        <v>223</v>
      </c>
    </row>
    <row r="24" spans="1:3" ht="12.75" customHeight="1">
      <c r="A24">
        <v>27</v>
      </c>
      <c r="B24">
        <f aca="true" t="shared" si="1" ref="B24:B30">A24*2.54</f>
        <v>68.58</v>
      </c>
      <c r="C24" t="s">
        <v>224</v>
      </c>
    </row>
    <row r="25" spans="1:3" ht="12.75" customHeight="1">
      <c r="A25">
        <v>5.125</v>
      </c>
      <c r="B25">
        <f t="shared" si="1"/>
        <v>13.0175</v>
      </c>
      <c r="C25" t="s">
        <v>225</v>
      </c>
    </row>
    <row r="26" spans="1:3" ht="12.75" customHeight="1">
      <c r="A26">
        <v>7.75</v>
      </c>
      <c r="B26">
        <f t="shared" si="1"/>
        <v>19.685</v>
      </c>
      <c r="C26" t="s">
        <v>226</v>
      </c>
    </row>
    <row r="27" spans="1:3" ht="12.75" customHeight="1">
      <c r="A27">
        <v>5.75</v>
      </c>
      <c r="B27">
        <f t="shared" si="1"/>
        <v>14.605</v>
      </c>
      <c r="C27" t="s">
        <v>235</v>
      </c>
    </row>
    <row r="28" spans="1:3" ht="12.75" customHeight="1">
      <c r="A28">
        <v>8.5</v>
      </c>
      <c r="B28">
        <f t="shared" si="1"/>
        <v>21.59</v>
      </c>
      <c r="C28" t="s">
        <v>236</v>
      </c>
    </row>
    <row r="29" spans="1:3" ht="12.75" customHeight="1">
      <c r="A29">
        <v>6.375</v>
      </c>
      <c r="B29">
        <f t="shared" si="1"/>
        <v>16.1925</v>
      </c>
      <c r="C29" t="s">
        <v>227</v>
      </c>
    </row>
    <row r="30" spans="1:3" ht="12.75" customHeight="1">
      <c r="A30">
        <v>9.25</v>
      </c>
      <c r="B30">
        <f t="shared" si="1"/>
        <v>23.495</v>
      </c>
      <c r="C30" t="s">
        <v>228</v>
      </c>
    </row>
    <row r="32" ht="12.75" customHeight="1">
      <c r="A32" s="4" t="s">
        <v>229</v>
      </c>
    </row>
    <row r="33" spans="1:5" ht="14.25" customHeight="1">
      <c r="A33" s="37" t="s">
        <v>230</v>
      </c>
      <c r="B33" s="37" t="s">
        <v>237</v>
      </c>
      <c r="C33" s="36" t="s">
        <v>238</v>
      </c>
      <c r="D33" s="37" t="s">
        <v>239</v>
      </c>
      <c r="E33" s="37" t="s">
        <v>232</v>
      </c>
    </row>
    <row r="34" spans="1:64" ht="14.25" customHeight="1">
      <c r="A34" s="37">
        <v>282</v>
      </c>
      <c r="B34" s="37">
        <v>329</v>
      </c>
      <c r="C34" s="36">
        <v>376</v>
      </c>
      <c r="D34" s="37">
        <v>451</v>
      </c>
      <c r="E34" s="37">
        <v>525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ht="14.25" customHeight="1">
      <c r="A35" s="70" t="s">
        <v>240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7" ht="12.75" customHeight="1">
      <c r="A37" s="4" t="s">
        <v>87</v>
      </c>
    </row>
    <row r="38" ht="12.75" customHeight="1">
      <c r="A38" t="s">
        <v>241</v>
      </c>
    </row>
    <row r="39" ht="12.75" customHeight="1">
      <c r="A39" t="s">
        <v>242</v>
      </c>
    </row>
    <row r="41" ht="12.75" customHeight="1">
      <c r="A41" s="4" t="s">
        <v>243</v>
      </c>
    </row>
    <row r="42" ht="12.75" customHeight="1">
      <c r="A42" t="s">
        <v>244</v>
      </c>
    </row>
    <row r="43" ht="12.75" customHeight="1">
      <c r="A43" t="s">
        <v>245</v>
      </c>
    </row>
    <row r="54" ht="14.25" customHeight="1"/>
    <row r="65" ht="14.25" customHeight="1"/>
  </sheetData>
  <sheetProtection selectLockedCells="1" selectUnlockedCells="1"/>
  <printOptions/>
  <pageMargins left="0.42430555555555555" right="0.42430555555555555" top="0.6701388888888888" bottom="0.5118055555555556" header="0.4326388888888889" footer="0.2743055555555556"/>
  <pageSetup horizontalDpi="300" verticalDpi="300" orientation="portrait" scale="70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3" sqref="A13"/>
    </sheetView>
  </sheetViews>
  <sheetFormatPr defaultColWidth="9.140625" defaultRowHeight="12.75" customHeight="1"/>
  <cols>
    <col min="1" max="16384" width="11.57421875" style="0" customWidth="1"/>
  </cols>
  <sheetData>
    <row r="1" s="69" customFormat="1" ht="24" customHeight="1">
      <c r="A1" s="67" t="s">
        <v>246</v>
      </c>
    </row>
    <row r="3" spans="1:2" ht="12.75" customHeight="1">
      <c r="A3" t="s">
        <v>247</v>
      </c>
      <c r="B3" t="s">
        <v>248</v>
      </c>
    </row>
    <row r="4" spans="1:2" ht="12.75" customHeight="1">
      <c r="A4" t="s">
        <v>249</v>
      </c>
      <c r="B4" t="s">
        <v>250</v>
      </c>
    </row>
    <row r="5" spans="1:2" ht="12.75" customHeight="1">
      <c r="A5" t="s">
        <v>251</v>
      </c>
      <c r="B5" t="s">
        <v>252</v>
      </c>
    </row>
    <row r="6" spans="1:2" ht="12.75" customHeight="1">
      <c r="A6" t="s">
        <v>253</v>
      </c>
      <c r="B6" t="s">
        <v>254</v>
      </c>
    </row>
    <row r="7" spans="1:2" ht="12.75" customHeight="1">
      <c r="A7" t="s">
        <v>255</v>
      </c>
      <c r="B7" t="s">
        <v>256</v>
      </c>
    </row>
    <row r="8" spans="1:2" ht="12.75" customHeight="1">
      <c r="A8" t="s">
        <v>257</v>
      </c>
      <c r="B8" t="s">
        <v>258</v>
      </c>
    </row>
    <row r="9" spans="1:2" ht="12" customHeight="1">
      <c r="A9" t="s">
        <v>259</v>
      </c>
      <c r="B9" t="s">
        <v>260</v>
      </c>
    </row>
    <row r="10" spans="1:2" ht="12.75" customHeight="1">
      <c r="A10" t="s">
        <v>261</v>
      </c>
      <c r="B10" t="s">
        <v>262</v>
      </c>
    </row>
    <row r="11" ht="12.75" customHeight="1">
      <c r="C11" t="s">
        <v>263</v>
      </c>
    </row>
    <row r="12" spans="1:2" ht="12.75" customHeight="1">
      <c r="A12" t="s">
        <v>264</v>
      </c>
      <c r="B12" t="s">
        <v>265</v>
      </c>
    </row>
    <row r="13" spans="1:2" ht="12.75" customHeight="1">
      <c r="A13" t="s">
        <v>266</v>
      </c>
      <c r="B13" t="s">
        <v>267</v>
      </c>
    </row>
  </sheetData>
  <sheetProtection selectLockedCells="1" selectUnlockedCells="1"/>
  <printOptions/>
  <pageMargins left="0.42430555555555555" right="0.42430555555555555" top="0.6701388888888888" bottom="0.5118055555555556" header="0.4326388888888889" footer="0.2743055555555556"/>
  <pageSetup horizontalDpi="300" verticalDpi="300" orientation="portrait" scale="7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Robinette</cp:lastModifiedBy>
  <cp:lastPrinted>2016-06-21T20:56:49Z</cp:lastPrinted>
  <dcterms:created xsi:type="dcterms:W3CDTF">2016-06-20T05:39:18Z</dcterms:created>
  <dcterms:modified xsi:type="dcterms:W3CDTF">2021-03-06T00:33:03Z</dcterms:modified>
  <cp:category/>
  <cp:version/>
  <cp:contentType/>
  <cp:contentStatus/>
  <cp:revision>139</cp:revision>
</cp:coreProperties>
</file>